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cu\141067_Innotech\Metodologie\02_Concurs_plan_afacere\Versiuni\Spre_publicare\"/>
    </mc:Choice>
  </mc:AlternateContent>
  <xr:revisionPtr revIDLastSave="0" documentId="13_ncr:1_{17667FE8-B73B-463C-A8B3-51EAC2466D01}" xr6:coauthVersionLast="47" xr6:coauthVersionMax="47" xr10:uidLastSave="{00000000-0000-0000-0000-000000000000}"/>
  <bookViews>
    <workbookView xWindow="-108" yWindow="-108" windowWidth="23256" windowHeight="12576" tabRatio="874" activeTab="9" xr2:uid="{96AD577A-0F03-46C2-A63C-FA64D078070B}"/>
  </bookViews>
  <sheets>
    <sheet name="Instructiuni" sheetId="12" r:id="rId1"/>
    <sheet name="Centralizator" sheetId="13" r:id="rId2"/>
    <sheet name="Buget" sheetId="14" r:id="rId3"/>
    <sheet name="B_meta" sheetId="15" state="hidden" r:id="rId4"/>
    <sheet name="Prog. veniturilor" sheetId="2" r:id="rId5"/>
    <sheet name="Prog. ch. fixe" sheetId="5" r:id="rId6"/>
    <sheet name="CPP" sheetId="6" r:id="rId7"/>
    <sheet name="CF" sheetId="7" r:id="rId8"/>
    <sheet name="Indicatori" sheetId="8" r:id="rId9"/>
    <sheet name="Break-even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7" l="1"/>
  <c r="D23" i="5" l="1"/>
  <c r="E23" i="5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H47" i="5"/>
  <c r="Q51" i="5"/>
  <c r="S51" i="5" s="1"/>
  <c r="T51" i="5" s="1"/>
  <c r="P51" i="5"/>
  <c r="O51" i="5"/>
  <c r="N51" i="5"/>
  <c r="M51" i="5"/>
  <c r="L51" i="5"/>
  <c r="K51" i="5"/>
  <c r="J51" i="5"/>
  <c r="I51" i="5"/>
  <c r="H51" i="5"/>
  <c r="G51" i="5"/>
  <c r="F51" i="5"/>
  <c r="Q49" i="5"/>
  <c r="S49" i="5" s="1"/>
  <c r="T49" i="5" s="1"/>
  <c r="P49" i="5"/>
  <c r="O49" i="5"/>
  <c r="N49" i="5"/>
  <c r="M49" i="5"/>
  <c r="L49" i="5"/>
  <c r="K49" i="5"/>
  <c r="J49" i="5"/>
  <c r="I49" i="5"/>
  <c r="H49" i="5"/>
  <c r="G49" i="5"/>
  <c r="F49" i="5"/>
  <c r="Q47" i="5"/>
  <c r="S47" i="5" s="1"/>
  <c r="T47" i="5" s="1"/>
  <c r="P47" i="5"/>
  <c r="O47" i="5"/>
  <c r="N47" i="5"/>
  <c r="M47" i="5"/>
  <c r="L47" i="5"/>
  <c r="K47" i="5"/>
  <c r="J47" i="5"/>
  <c r="I47" i="5"/>
  <c r="G47" i="5"/>
  <c r="F47" i="5"/>
  <c r="Q45" i="5"/>
  <c r="S45" i="5" s="1"/>
  <c r="T45" i="5" s="1"/>
  <c r="P45" i="5"/>
  <c r="O45" i="5"/>
  <c r="N45" i="5"/>
  <c r="M45" i="5"/>
  <c r="L45" i="5"/>
  <c r="K45" i="5"/>
  <c r="J45" i="5"/>
  <c r="I45" i="5"/>
  <c r="H45" i="5"/>
  <c r="G45" i="5"/>
  <c r="F45" i="5"/>
  <c r="Q43" i="5"/>
  <c r="P43" i="5"/>
  <c r="O43" i="5"/>
  <c r="N43" i="5"/>
  <c r="M43" i="5"/>
  <c r="L43" i="5"/>
  <c r="K43" i="5"/>
  <c r="J43" i="5"/>
  <c r="I43" i="5"/>
  <c r="H43" i="5"/>
  <c r="G43" i="5"/>
  <c r="F43" i="5"/>
  <c r="H22" i="14" l="1"/>
  <c r="J67" i="5"/>
  <c r="K67" i="5"/>
  <c r="L67" i="5"/>
  <c r="M67" i="5"/>
  <c r="N67" i="5"/>
  <c r="O67" i="5"/>
  <c r="P67" i="5"/>
  <c r="Q67" i="5"/>
  <c r="R67" i="5"/>
  <c r="S67" i="5"/>
  <c r="T67" i="5"/>
  <c r="J68" i="5"/>
  <c r="K68" i="5"/>
  <c r="L68" i="5"/>
  <c r="M68" i="5"/>
  <c r="N68" i="5"/>
  <c r="O68" i="5"/>
  <c r="P68" i="5"/>
  <c r="Q68" i="5"/>
  <c r="R68" i="5"/>
  <c r="S68" i="5"/>
  <c r="T68" i="5"/>
  <c r="J69" i="5"/>
  <c r="K69" i="5"/>
  <c r="L69" i="5"/>
  <c r="M69" i="5"/>
  <c r="N69" i="5"/>
  <c r="O69" i="5"/>
  <c r="P69" i="5"/>
  <c r="Q69" i="5"/>
  <c r="R69" i="5"/>
  <c r="S69" i="5"/>
  <c r="T69" i="5"/>
  <c r="J70" i="5"/>
  <c r="K70" i="5"/>
  <c r="L70" i="5"/>
  <c r="M70" i="5"/>
  <c r="N70" i="5"/>
  <c r="O70" i="5"/>
  <c r="P70" i="5"/>
  <c r="Q70" i="5"/>
  <c r="R70" i="5"/>
  <c r="S70" i="5"/>
  <c r="T70" i="5"/>
  <c r="J71" i="5"/>
  <c r="K71" i="5"/>
  <c r="L71" i="5"/>
  <c r="M71" i="5"/>
  <c r="N71" i="5"/>
  <c r="O71" i="5"/>
  <c r="P71" i="5"/>
  <c r="Q71" i="5"/>
  <c r="R71" i="5"/>
  <c r="S71" i="5"/>
  <c r="T71" i="5"/>
  <c r="J72" i="5"/>
  <c r="K72" i="5"/>
  <c r="L72" i="5"/>
  <c r="M72" i="5"/>
  <c r="N72" i="5"/>
  <c r="O72" i="5"/>
  <c r="P72" i="5"/>
  <c r="Q72" i="5"/>
  <c r="R72" i="5"/>
  <c r="S72" i="5"/>
  <c r="T72" i="5"/>
  <c r="J73" i="5"/>
  <c r="K73" i="5"/>
  <c r="L73" i="5"/>
  <c r="M73" i="5"/>
  <c r="N73" i="5"/>
  <c r="O73" i="5"/>
  <c r="P73" i="5"/>
  <c r="Q73" i="5"/>
  <c r="R73" i="5"/>
  <c r="S73" i="5"/>
  <c r="T73" i="5"/>
  <c r="J74" i="5"/>
  <c r="K74" i="5"/>
  <c r="L74" i="5"/>
  <c r="M74" i="5"/>
  <c r="N74" i="5"/>
  <c r="O74" i="5"/>
  <c r="P74" i="5"/>
  <c r="Q74" i="5"/>
  <c r="R74" i="5"/>
  <c r="S74" i="5"/>
  <c r="T74" i="5"/>
  <c r="J75" i="5"/>
  <c r="K75" i="5"/>
  <c r="L75" i="5"/>
  <c r="M75" i="5"/>
  <c r="N75" i="5"/>
  <c r="O75" i="5"/>
  <c r="P75" i="5"/>
  <c r="Q75" i="5"/>
  <c r="R75" i="5"/>
  <c r="S75" i="5"/>
  <c r="T75" i="5"/>
  <c r="J76" i="5"/>
  <c r="K76" i="5"/>
  <c r="L76" i="5"/>
  <c r="M76" i="5"/>
  <c r="N76" i="5"/>
  <c r="O76" i="5"/>
  <c r="P76" i="5"/>
  <c r="Q76" i="5"/>
  <c r="R76" i="5"/>
  <c r="S76" i="5"/>
  <c r="T76" i="5"/>
  <c r="J77" i="5"/>
  <c r="K77" i="5"/>
  <c r="L77" i="5"/>
  <c r="M77" i="5"/>
  <c r="N77" i="5"/>
  <c r="O77" i="5"/>
  <c r="P77" i="5"/>
  <c r="Q77" i="5"/>
  <c r="R77" i="5"/>
  <c r="S77" i="5"/>
  <c r="T77" i="5"/>
  <c r="J78" i="5"/>
  <c r="K78" i="5"/>
  <c r="L78" i="5"/>
  <c r="M78" i="5"/>
  <c r="N78" i="5"/>
  <c r="O78" i="5"/>
  <c r="P78" i="5"/>
  <c r="Q78" i="5"/>
  <c r="R78" i="5"/>
  <c r="S78" i="5"/>
  <c r="T78" i="5"/>
  <c r="J79" i="5"/>
  <c r="K79" i="5"/>
  <c r="L79" i="5"/>
  <c r="M79" i="5"/>
  <c r="N79" i="5"/>
  <c r="O79" i="5"/>
  <c r="P79" i="5"/>
  <c r="Q79" i="5"/>
  <c r="R79" i="5"/>
  <c r="S79" i="5"/>
  <c r="T79" i="5"/>
  <c r="J80" i="5"/>
  <c r="K80" i="5"/>
  <c r="L80" i="5"/>
  <c r="M80" i="5"/>
  <c r="N80" i="5"/>
  <c r="O80" i="5"/>
  <c r="P80" i="5"/>
  <c r="Q80" i="5"/>
  <c r="R80" i="5"/>
  <c r="S80" i="5"/>
  <c r="T80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63" i="5"/>
  <c r="E81" i="5" l="1"/>
  <c r="W80" i="5"/>
  <c r="V80" i="5"/>
  <c r="F80" i="5"/>
  <c r="W79" i="5"/>
  <c r="V79" i="5"/>
  <c r="F79" i="5"/>
  <c r="W78" i="5"/>
  <c r="V78" i="5"/>
  <c r="F78" i="5"/>
  <c r="W77" i="5"/>
  <c r="V77" i="5"/>
  <c r="F77" i="5"/>
  <c r="W76" i="5"/>
  <c r="V76" i="5"/>
  <c r="F76" i="5"/>
  <c r="W75" i="5"/>
  <c r="V75" i="5"/>
  <c r="F75" i="5"/>
  <c r="W74" i="5"/>
  <c r="V74" i="5"/>
  <c r="F74" i="5"/>
  <c r="W73" i="5"/>
  <c r="V73" i="5"/>
  <c r="F73" i="5"/>
  <c r="W72" i="5"/>
  <c r="V72" i="5"/>
  <c r="F72" i="5"/>
  <c r="W71" i="5"/>
  <c r="V71" i="5"/>
  <c r="F71" i="5"/>
  <c r="W70" i="5"/>
  <c r="V70" i="5"/>
  <c r="F70" i="5"/>
  <c r="W69" i="5"/>
  <c r="V69" i="5"/>
  <c r="F69" i="5"/>
  <c r="W68" i="5"/>
  <c r="V68" i="5"/>
  <c r="F68" i="5"/>
  <c r="W67" i="5"/>
  <c r="V67" i="5"/>
  <c r="F67" i="5"/>
  <c r="F66" i="5"/>
  <c r="F65" i="5"/>
  <c r="V65" i="5" s="1"/>
  <c r="V64" i="5"/>
  <c r="F64" i="5"/>
  <c r="F63" i="5"/>
  <c r="B21" i="5"/>
  <c r="B20" i="5"/>
  <c r="B19" i="5"/>
  <c r="G50" i="5"/>
  <c r="G46" i="5"/>
  <c r="F44" i="5"/>
  <c r="C67" i="2"/>
  <c r="H67" i="2" s="1"/>
  <c r="C66" i="2"/>
  <c r="S66" i="2" s="1"/>
  <c r="C65" i="2"/>
  <c r="F65" i="2" s="1"/>
  <c r="C64" i="2"/>
  <c r="S64" i="2" s="1"/>
  <c r="C63" i="2"/>
  <c r="H63" i="2" s="1"/>
  <c r="C62" i="2"/>
  <c r="S62" i="2" s="1"/>
  <c r="C61" i="2"/>
  <c r="F61" i="2" s="1"/>
  <c r="C60" i="2"/>
  <c r="S60" i="2" s="1"/>
  <c r="C59" i="2"/>
  <c r="S59" i="2" s="1"/>
  <c r="F57" i="2"/>
  <c r="E12" i="5" s="1"/>
  <c r="G40" i="5" s="1"/>
  <c r="J61" i="5" s="1"/>
  <c r="E12" i="6" s="1"/>
  <c r="E12" i="7" s="1"/>
  <c r="F12" i="11" s="1"/>
  <c r="G57" i="2"/>
  <c r="F12" i="5" s="1"/>
  <c r="H40" i="5" s="1"/>
  <c r="K61" i="5" s="1"/>
  <c r="F12" i="6" s="1"/>
  <c r="F12" i="7" s="1"/>
  <c r="G12" i="11" s="1"/>
  <c r="H57" i="2"/>
  <c r="G12" i="5" s="1"/>
  <c r="I40" i="5" s="1"/>
  <c r="L61" i="5" s="1"/>
  <c r="G12" i="6" s="1"/>
  <c r="G12" i="7" s="1"/>
  <c r="H12" i="11" s="1"/>
  <c r="I57" i="2"/>
  <c r="H12" i="5" s="1"/>
  <c r="J40" i="5" s="1"/>
  <c r="M61" i="5" s="1"/>
  <c r="H12" i="6" s="1"/>
  <c r="H12" i="7" s="1"/>
  <c r="I12" i="11" s="1"/>
  <c r="J57" i="2"/>
  <c r="I12" i="5" s="1"/>
  <c r="K40" i="5" s="1"/>
  <c r="N61" i="5" s="1"/>
  <c r="I12" i="6" s="1"/>
  <c r="I12" i="7" s="1"/>
  <c r="J12" i="11" s="1"/>
  <c r="K57" i="2"/>
  <c r="J12" i="5" s="1"/>
  <c r="L40" i="5" s="1"/>
  <c r="O61" i="5" s="1"/>
  <c r="J12" i="6" s="1"/>
  <c r="J12" i="7" s="1"/>
  <c r="K12" i="11" s="1"/>
  <c r="L57" i="2"/>
  <c r="K12" i="5" s="1"/>
  <c r="M40" i="5" s="1"/>
  <c r="P61" i="5" s="1"/>
  <c r="K12" i="6" s="1"/>
  <c r="K12" i="7" s="1"/>
  <c r="L12" i="11" s="1"/>
  <c r="M57" i="2"/>
  <c r="L12" i="5" s="1"/>
  <c r="N57" i="2"/>
  <c r="M12" i="5" s="1"/>
  <c r="O40" i="5" s="1"/>
  <c r="R61" i="5" s="1"/>
  <c r="M12" i="6" s="1"/>
  <c r="M12" i="7" s="1"/>
  <c r="N12" i="11" s="1"/>
  <c r="O57" i="2"/>
  <c r="N12" i="5" s="1"/>
  <c r="P40" i="5" s="1"/>
  <c r="S61" i="5" s="1"/>
  <c r="N12" i="6" s="1"/>
  <c r="N12" i="7" s="1"/>
  <c r="O12" i="11" s="1"/>
  <c r="P57" i="2"/>
  <c r="O12" i="5" s="1"/>
  <c r="Q40" i="5" s="1"/>
  <c r="T61" i="5" s="1"/>
  <c r="O12" i="6" s="1"/>
  <c r="O12" i="7" s="1"/>
  <c r="P12" i="11" s="1"/>
  <c r="E57" i="2"/>
  <c r="D12" i="5" s="1"/>
  <c r="F40" i="5" s="1"/>
  <c r="I61" i="5" s="1"/>
  <c r="D12" i="6" s="1"/>
  <c r="D12" i="7" s="1"/>
  <c r="E12" i="11" s="1"/>
  <c r="D31" i="2"/>
  <c r="D30" i="2"/>
  <c r="D29" i="2"/>
  <c r="D28" i="2"/>
  <c r="D27" i="2"/>
  <c r="D26" i="2"/>
  <c r="D25" i="2"/>
  <c r="D24" i="2"/>
  <c r="D23" i="2"/>
  <c r="O63" i="2" l="1"/>
  <c r="E67" i="2"/>
  <c r="O67" i="2"/>
  <c r="G67" i="2"/>
  <c r="M65" i="2"/>
  <c r="N66" i="2"/>
  <c r="R67" i="2"/>
  <c r="F48" i="5"/>
  <c r="F52" i="5"/>
  <c r="R65" i="2"/>
  <c r="L66" i="5"/>
  <c r="P66" i="5"/>
  <c r="T66" i="5"/>
  <c r="M66" i="5"/>
  <c r="Q66" i="5"/>
  <c r="K66" i="5"/>
  <c r="S66" i="5"/>
  <c r="J66" i="5"/>
  <c r="N66" i="5"/>
  <c r="R66" i="5"/>
  <c r="O66" i="5"/>
  <c r="V66" i="5"/>
  <c r="M63" i="5"/>
  <c r="Q63" i="5"/>
  <c r="J63" i="5"/>
  <c r="N63" i="5"/>
  <c r="R63" i="5"/>
  <c r="K63" i="5"/>
  <c r="O63" i="5"/>
  <c r="S63" i="5"/>
  <c r="L63" i="5"/>
  <c r="P63" i="5"/>
  <c r="T63" i="5"/>
  <c r="W66" i="5"/>
  <c r="K65" i="5"/>
  <c r="O65" i="5"/>
  <c r="S65" i="5"/>
  <c r="N65" i="5"/>
  <c r="L65" i="5"/>
  <c r="P65" i="5"/>
  <c r="T65" i="5"/>
  <c r="M65" i="5"/>
  <c r="Q65" i="5"/>
  <c r="J65" i="5"/>
  <c r="R65" i="5"/>
  <c r="W64" i="5"/>
  <c r="J64" i="5"/>
  <c r="N64" i="5"/>
  <c r="R64" i="5"/>
  <c r="K64" i="5"/>
  <c r="O64" i="5"/>
  <c r="S64" i="5"/>
  <c r="Q64" i="5"/>
  <c r="L64" i="5"/>
  <c r="P64" i="5"/>
  <c r="T64" i="5"/>
  <c r="M64" i="5"/>
  <c r="W65" i="5"/>
  <c r="N40" i="5"/>
  <c r="Q61" i="5" s="1"/>
  <c r="L12" i="6" s="1"/>
  <c r="L12" i="7" s="1"/>
  <c r="M12" i="11" s="1"/>
  <c r="U76" i="5"/>
  <c r="U78" i="5"/>
  <c r="V63" i="5"/>
  <c r="I81" i="5"/>
  <c r="D28" i="5" s="1"/>
  <c r="F81" i="5"/>
  <c r="G63" i="2"/>
  <c r="E63" i="2"/>
  <c r="N62" i="2"/>
  <c r="M61" i="2"/>
  <c r="I65" i="2"/>
  <c r="I61" i="2"/>
  <c r="J66" i="2"/>
  <c r="J62" i="2"/>
  <c r="R61" i="2"/>
  <c r="K67" i="2"/>
  <c r="F66" i="2"/>
  <c r="K63" i="2"/>
  <c r="F62" i="2"/>
  <c r="R63" i="2"/>
  <c r="L64" i="2"/>
  <c r="E66" i="2"/>
  <c r="E62" i="2"/>
  <c r="N67" i="2"/>
  <c r="J67" i="2"/>
  <c r="F67" i="2"/>
  <c r="M66" i="2"/>
  <c r="I66" i="2"/>
  <c r="P65" i="2"/>
  <c r="L65" i="2"/>
  <c r="H65" i="2"/>
  <c r="O64" i="2"/>
  <c r="K64" i="2"/>
  <c r="G64" i="2"/>
  <c r="N63" i="2"/>
  <c r="J63" i="2"/>
  <c r="F63" i="2"/>
  <c r="M62" i="2"/>
  <c r="I62" i="2"/>
  <c r="P61" i="2"/>
  <c r="L61" i="2"/>
  <c r="H61" i="2"/>
  <c r="S61" i="2"/>
  <c r="S63" i="2"/>
  <c r="S65" i="2"/>
  <c r="S67" i="2"/>
  <c r="P64" i="2"/>
  <c r="E65" i="2"/>
  <c r="E61" i="2"/>
  <c r="M67" i="2"/>
  <c r="I67" i="2"/>
  <c r="P66" i="2"/>
  <c r="L66" i="2"/>
  <c r="H66" i="2"/>
  <c r="O65" i="2"/>
  <c r="K65" i="2"/>
  <c r="G65" i="2"/>
  <c r="N64" i="2"/>
  <c r="J64" i="2"/>
  <c r="F64" i="2"/>
  <c r="M63" i="2"/>
  <c r="I63" i="2"/>
  <c r="P62" i="2"/>
  <c r="L62" i="2"/>
  <c r="H62" i="2"/>
  <c r="O61" i="2"/>
  <c r="K61" i="2"/>
  <c r="G61" i="2"/>
  <c r="R62" i="2"/>
  <c r="R64" i="2"/>
  <c r="R66" i="2"/>
  <c r="H64" i="2"/>
  <c r="E64" i="2"/>
  <c r="P67" i="2"/>
  <c r="L67" i="2"/>
  <c r="O66" i="2"/>
  <c r="K66" i="2"/>
  <c r="G66" i="2"/>
  <c r="N65" i="2"/>
  <c r="J65" i="2"/>
  <c r="M64" i="2"/>
  <c r="I64" i="2"/>
  <c r="P63" i="2"/>
  <c r="L63" i="2"/>
  <c r="O62" i="2"/>
  <c r="K62" i="2"/>
  <c r="G62" i="2"/>
  <c r="N61" i="2"/>
  <c r="J61" i="2"/>
  <c r="O60" i="2"/>
  <c r="K60" i="2"/>
  <c r="G60" i="2"/>
  <c r="E60" i="2"/>
  <c r="N60" i="2"/>
  <c r="J60" i="2"/>
  <c r="F60" i="2"/>
  <c r="M60" i="2"/>
  <c r="I60" i="2"/>
  <c r="R60" i="2"/>
  <c r="P60" i="2"/>
  <c r="L60" i="2"/>
  <c r="H60" i="2"/>
  <c r="O59" i="2"/>
  <c r="K59" i="2"/>
  <c r="G59" i="2"/>
  <c r="N59" i="2"/>
  <c r="J59" i="2"/>
  <c r="F59" i="2"/>
  <c r="E59" i="2"/>
  <c r="M59" i="2"/>
  <c r="I59" i="2"/>
  <c r="R59" i="2"/>
  <c r="P59" i="2"/>
  <c r="L59" i="2"/>
  <c r="H59" i="2"/>
  <c r="W63" i="5"/>
  <c r="F54" i="5"/>
  <c r="D20" i="5" s="1"/>
  <c r="G48" i="5"/>
  <c r="G52" i="5"/>
  <c r="F46" i="5"/>
  <c r="F50" i="5"/>
  <c r="C31" i="2"/>
  <c r="C30" i="2"/>
  <c r="C29" i="2"/>
  <c r="C28" i="2"/>
  <c r="C27" i="2"/>
  <c r="C26" i="2"/>
  <c r="C25" i="2"/>
  <c r="C24" i="2"/>
  <c r="C23" i="2"/>
  <c r="B31" i="2"/>
  <c r="B30" i="2"/>
  <c r="B29" i="2"/>
  <c r="B28" i="2"/>
  <c r="B27" i="2"/>
  <c r="B26" i="2"/>
  <c r="B25" i="2"/>
  <c r="B24" i="2"/>
  <c r="B23" i="2"/>
  <c r="S18" i="2"/>
  <c r="C22" i="11" s="1"/>
  <c r="E18" i="2"/>
  <c r="C15" i="11" s="1"/>
  <c r="G18" i="2"/>
  <c r="C16" i="11" s="1"/>
  <c r="I18" i="2"/>
  <c r="C17" i="11" s="1"/>
  <c r="K18" i="2"/>
  <c r="C18" i="11" s="1"/>
  <c r="M18" i="2"/>
  <c r="C19" i="11" s="1"/>
  <c r="O18" i="2"/>
  <c r="C20" i="11" s="1"/>
  <c r="Q18" i="2"/>
  <c r="C21" i="11" s="1"/>
  <c r="C18" i="2"/>
  <c r="C14" i="11" s="1"/>
  <c r="Q81" i="5" l="1"/>
  <c r="L28" i="5" s="1"/>
  <c r="R81" i="5"/>
  <c r="M28" i="5" s="1"/>
  <c r="P81" i="5"/>
  <c r="K28" i="5" s="1"/>
  <c r="K26" i="6" s="1"/>
  <c r="L81" i="5"/>
  <c r="G28" i="5" s="1"/>
  <c r="G26" i="6" s="1"/>
  <c r="K81" i="5"/>
  <c r="F28" i="5" s="1"/>
  <c r="F26" i="6" s="1"/>
  <c r="U65" i="5"/>
  <c r="S81" i="5"/>
  <c r="N28" i="5" s="1"/>
  <c r="N26" i="6" s="1"/>
  <c r="U66" i="5"/>
  <c r="T81" i="5"/>
  <c r="O28" i="5" s="1"/>
  <c r="O26" i="6" s="1"/>
  <c r="J81" i="5"/>
  <c r="E28" i="5" s="1"/>
  <c r="E26" i="6" s="1"/>
  <c r="N81" i="5"/>
  <c r="I28" i="5" s="1"/>
  <c r="I26" i="6" s="1"/>
  <c r="V81" i="5"/>
  <c r="W81" i="5"/>
  <c r="U77" i="5"/>
  <c r="M81" i="5"/>
  <c r="H28" i="5" s="1"/>
  <c r="H26" i="6" s="1"/>
  <c r="U80" i="5"/>
  <c r="U75" i="5"/>
  <c r="U64" i="5"/>
  <c r="U70" i="5"/>
  <c r="U79" i="5"/>
  <c r="U73" i="5"/>
  <c r="U74" i="5"/>
  <c r="U67" i="5"/>
  <c r="U68" i="5"/>
  <c r="O81" i="5"/>
  <c r="J28" i="5" s="1"/>
  <c r="J26" i="6" s="1"/>
  <c r="U71" i="5"/>
  <c r="U72" i="5"/>
  <c r="U69" i="5"/>
  <c r="Q61" i="2"/>
  <c r="Q63" i="2"/>
  <c r="Q67" i="2"/>
  <c r="Q66" i="2"/>
  <c r="Q64" i="2"/>
  <c r="Q60" i="2"/>
  <c r="Q62" i="2"/>
  <c r="Q65" i="2"/>
  <c r="U63" i="5"/>
  <c r="F55" i="5"/>
  <c r="H48" i="5"/>
  <c r="H46" i="5"/>
  <c r="H50" i="5"/>
  <c r="G44" i="5"/>
  <c r="G54" i="5"/>
  <c r="E20" i="5" s="1"/>
  <c r="H52" i="5"/>
  <c r="R33" i="2"/>
  <c r="R34" i="2"/>
  <c r="O35" i="2"/>
  <c r="P17" i="5"/>
  <c r="R17" i="5" s="1"/>
  <c r="P18" i="5"/>
  <c r="R18" i="5" s="1"/>
  <c r="T18" i="5" s="1"/>
  <c r="P22" i="5"/>
  <c r="R22" i="5" s="1"/>
  <c r="N33" i="2"/>
  <c r="N34" i="2"/>
  <c r="O33" i="2"/>
  <c r="O34" i="2"/>
  <c r="P33" i="2"/>
  <c r="P34" i="2"/>
  <c r="S33" i="2"/>
  <c r="S34" i="2"/>
  <c r="P19" i="7"/>
  <c r="E33" i="2"/>
  <c r="E34" i="2"/>
  <c r="F33" i="2"/>
  <c r="F34" i="2"/>
  <c r="G33" i="2"/>
  <c r="G34" i="2"/>
  <c r="H33" i="2"/>
  <c r="H34" i="2"/>
  <c r="I33" i="2"/>
  <c r="I34" i="2"/>
  <c r="J33" i="2"/>
  <c r="J34" i="2"/>
  <c r="K33" i="2"/>
  <c r="K34" i="2"/>
  <c r="L33" i="2"/>
  <c r="L34" i="2"/>
  <c r="M33" i="2"/>
  <c r="M34" i="2"/>
  <c r="D16" i="5"/>
  <c r="D22" i="6" s="1"/>
  <c r="D26" i="7" s="1"/>
  <c r="E16" i="5"/>
  <c r="E22" i="6" s="1"/>
  <c r="E26" i="7" s="1"/>
  <c r="F16" i="5"/>
  <c r="F22" i="6" s="1"/>
  <c r="F26" i="7" s="1"/>
  <c r="G16" i="5"/>
  <c r="G22" i="6" s="1"/>
  <c r="G26" i="7" s="1"/>
  <c r="H16" i="5"/>
  <c r="H22" i="6" s="1"/>
  <c r="H26" i="7" s="1"/>
  <c r="I16" i="5"/>
  <c r="I22" i="6" s="1"/>
  <c r="I26" i="7" s="1"/>
  <c r="J16" i="5"/>
  <c r="J22" i="6" s="1"/>
  <c r="J26" i="7" s="1"/>
  <c r="K16" i="5"/>
  <c r="K22" i="6" s="1"/>
  <c r="K26" i="7" s="1"/>
  <c r="L16" i="5"/>
  <c r="L22" i="6" s="1"/>
  <c r="L26" i="7" s="1"/>
  <c r="M16" i="5"/>
  <c r="M22" i="6" s="1"/>
  <c r="M26" i="7" s="1"/>
  <c r="N16" i="5"/>
  <c r="N22" i="6" s="1"/>
  <c r="N26" i="7" s="1"/>
  <c r="O16" i="5"/>
  <c r="O22" i="6" s="1"/>
  <c r="O26" i="7" s="1"/>
  <c r="D24" i="6"/>
  <c r="D28" i="7" s="1"/>
  <c r="E24" i="6"/>
  <c r="E28" i="7" s="1"/>
  <c r="F24" i="6"/>
  <c r="F28" i="7" s="1"/>
  <c r="G24" i="6"/>
  <c r="G28" i="7" s="1"/>
  <c r="H24" i="6"/>
  <c r="H28" i="7" s="1"/>
  <c r="I24" i="6"/>
  <c r="I28" i="7" s="1"/>
  <c r="J24" i="6"/>
  <c r="J28" i="7" s="1"/>
  <c r="K24" i="6"/>
  <c r="K28" i="7" s="1"/>
  <c r="L24" i="6"/>
  <c r="L28" i="7" s="1"/>
  <c r="M24" i="6"/>
  <c r="M28" i="7" s="1"/>
  <c r="N24" i="6"/>
  <c r="N28" i="7" s="1"/>
  <c r="O24" i="6"/>
  <c r="O28" i="7" s="1"/>
  <c r="P22" i="7"/>
  <c r="C7" i="11"/>
  <c r="C8" i="11"/>
  <c r="C9" i="11"/>
  <c r="C6" i="11"/>
  <c r="C7" i="8"/>
  <c r="C8" i="8"/>
  <c r="C9" i="8"/>
  <c r="C6" i="8"/>
  <c r="C7" i="7"/>
  <c r="C8" i="7"/>
  <c r="C9" i="7"/>
  <c r="C6" i="7"/>
  <c r="C7" i="6"/>
  <c r="C8" i="6"/>
  <c r="C9" i="6"/>
  <c r="C6" i="6"/>
  <c r="C7" i="5"/>
  <c r="C8" i="5"/>
  <c r="C9" i="5"/>
  <c r="C6" i="5"/>
  <c r="C7" i="2"/>
  <c r="C8" i="2"/>
  <c r="C9" i="2"/>
  <c r="C6" i="2"/>
  <c r="H37" i="2"/>
  <c r="C38" i="2"/>
  <c r="E39" i="2"/>
  <c r="E41" i="2"/>
  <c r="D16" i="6"/>
  <c r="D17" i="7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E14" i="13"/>
  <c r="E15" i="13"/>
  <c r="E17" i="13"/>
  <c r="E18" i="13"/>
  <c r="E19" i="13"/>
  <c r="E20" i="13"/>
  <c r="E21" i="13"/>
  <c r="E24" i="13"/>
  <c r="E25" i="13"/>
  <c r="E26" i="13"/>
  <c r="E27" i="13"/>
  <c r="E28" i="13"/>
  <c r="E29" i="13"/>
  <c r="E30" i="13"/>
  <c r="E31" i="13"/>
  <c r="E32" i="13"/>
  <c r="E33" i="13"/>
  <c r="E34" i="13"/>
  <c r="E36" i="13"/>
  <c r="E37" i="13"/>
  <c r="E38" i="13"/>
  <c r="E39" i="13"/>
  <c r="F39" i="13"/>
  <c r="D39" i="13"/>
  <c r="C39" i="13"/>
  <c r="F38" i="13"/>
  <c r="D38" i="13"/>
  <c r="C38" i="13"/>
  <c r="F37" i="13"/>
  <c r="D37" i="13"/>
  <c r="C37" i="13"/>
  <c r="F36" i="13"/>
  <c r="D36" i="13"/>
  <c r="C36" i="13"/>
  <c r="F34" i="13"/>
  <c r="D34" i="13"/>
  <c r="C34" i="13"/>
  <c r="F33" i="13"/>
  <c r="D33" i="13"/>
  <c r="C33" i="13"/>
  <c r="F32" i="13"/>
  <c r="D32" i="13"/>
  <c r="C32" i="13"/>
  <c r="F31" i="13"/>
  <c r="D31" i="13"/>
  <c r="C31" i="13"/>
  <c r="F30" i="13"/>
  <c r="D30" i="13"/>
  <c r="C30" i="13"/>
  <c r="F29" i="13"/>
  <c r="D29" i="13"/>
  <c r="C29" i="13"/>
  <c r="F28" i="13"/>
  <c r="D28" i="13"/>
  <c r="C28" i="13"/>
  <c r="F27" i="13"/>
  <c r="D27" i="13"/>
  <c r="C27" i="13"/>
  <c r="F26" i="13"/>
  <c r="D26" i="13"/>
  <c r="C26" i="13"/>
  <c r="F25" i="13"/>
  <c r="D25" i="13"/>
  <c r="C25" i="13"/>
  <c r="F24" i="13"/>
  <c r="D24" i="13"/>
  <c r="C24" i="13"/>
  <c r="F21" i="13"/>
  <c r="D21" i="13"/>
  <c r="C21" i="13"/>
  <c r="F20" i="13"/>
  <c r="D20" i="13"/>
  <c r="C20" i="13"/>
  <c r="F19" i="13"/>
  <c r="D19" i="13"/>
  <c r="C19" i="13"/>
  <c r="F18" i="13"/>
  <c r="D18" i="13"/>
  <c r="C18" i="13"/>
  <c r="F17" i="13"/>
  <c r="D17" i="13"/>
  <c r="C17" i="13"/>
  <c r="F15" i="13"/>
  <c r="D15" i="13"/>
  <c r="C15" i="13"/>
  <c r="F14" i="13"/>
  <c r="D14" i="13"/>
  <c r="C14" i="13"/>
  <c r="C9" i="14"/>
  <c r="C8" i="14"/>
  <c r="C7" i="14"/>
  <c r="C6" i="14"/>
  <c r="S41" i="2"/>
  <c r="S54" i="2" s="1"/>
  <c r="R16" i="6"/>
  <c r="Q16" i="6"/>
  <c r="F41" i="2"/>
  <c r="F54" i="2" s="1"/>
  <c r="I39" i="2"/>
  <c r="I52" i="2" s="1"/>
  <c r="L37" i="2"/>
  <c r="L50" i="2" s="1"/>
  <c r="M39" i="2"/>
  <c r="M52" i="2" s="1"/>
  <c r="N41" i="2"/>
  <c r="N54" i="2" s="1"/>
  <c r="E16" i="6"/>
  <c r="F16" i="6"/>
  <c r="G16" i="6"/>
  <c r="H16" i="6"/>
  <c r="I16" i="6"/>
  <c r="J16" i="6"/>
  <c r="K16" i="6"/>
  <c r="L16" i="6"/>
  <c r="M16" i="6"/>
  <c r="N16" i="6"/>
  <c r="O16" i="6"/>
  <c r="H12" i="14"/>
  <c r="I12" i="14" s="1"/>
  <c r="H13" i="14"/>
  <c r="H14" i="14"/>
  <c r="H15" i="14"/>
  <c r="H16" i="14"/>
  <c r="I16" i="14" s="1"/>
  <c r="H17" i="14"/>
  <c r="I17" i="14" s="1"/>
  <c r="H18" i="14"/>
  <c r="I18" i="14" s="1"/>
  <c r="J18" i="14" s="1"/>
  <c r="H19" i="14"/>
  <c r="I19" i="14" s="1"/>
  <c r="H20" i="14"/>
  <c r="I20" i="14" s="1"/>
  <c r="H21" i="14"/>
  <c r="I21" i="14" s="1"/>
  <c r="I22" i="14"/>
  <c r="J22" i="14" s="1"/>
  <c r="L22" i="14" s="1"/>
  <c r="H23" i="14"/>
  <c r="I23" i="14" s="1"/>
  <c r="J23" i="14" s="1"/>
  <c r="L23" i="14" s="1"/>
  <c r="H24" i="14"/>
  <c r="I24" i="14" s="1"/>
  <c r="J24" i="14" s="1"/>
  <c r="L24" i="14" s="1"/>
  <c r="H25" i="14"/>
  <c r="I25" i="14" s="1"/>
  <c r="J25" i="14" s="1"/>
  <c r="L25" i="14" s="1"/>
  <c r="H26" i="14"/>
  <c r="I26" i="14" s="1"/>
  <c r="J26" i="14" s="1"/>
  <c r="L26" i="14" s="1"/>
  <c r="H27" i="14"/>
  <c r="I27" i="14" s="1"/>
  <c r="J27" i="14" s="1"/>
  <c r="L27" i="14" s="1"/>
  <c r="H28" i="14"/>
  <c r="I28" i="14" s="1"/>
  <c r="J28" i="14" s="1"/>
  <c r="L28" i="14" s="1"/>
  <c r="H29" i="14"/>
  <c r="I29" i="14" s="1"/>
  <c r="J29" i="14" s="1"/>
  <c r="L29" i="14" s="1"/>
  <c r="H30" i="14"/>
  <c r="I30" i="14" s="1"/>
  <c r="J30" i="14" s="1"/>
  <c r="L30" i="14" s="1"/>
  <c r="H31" i="14"/>
  <c r="I31" i="14" s="1"/>
  <c r="J31" i="14" s="1"/>
  <c r="L31" i="14" s="1"/>
  <c r="H32" i="14"/>
  <c r="I32" i="14" s="1"/>
  <c r="J32" i="14" s="1"/>
  <c r="L32" i="14" s="1"/>
  <c r="H33" i="14"/>
  <c r="I33" i="14" s="1"/>
  <c r="J33" i="14" s="1"/>
  <c r="L33" i="14" s="1"/>
  <c r="H34" i="14"/>
  <c r="I34" i="14" s="1"/>
  <c r="J34" i="14" s="1"/>
  <c r="L34" i="14" s="1"/>
  <c r="H35" i="14"/>
  <c r="I35" i="14" s="1"/>
  <c r="J35" i="14" s="1"/>
  <c r="L35" i="14" s="1"/>
  <c r="H36" i="14"/>
  <c r="I36" i="14" s="1"/>
  <c r="J36" i="14" s="1"/>
  <c r="L36" i="14" s="1"/>
  <c r="H37" i="14"/>
  <c r="I37" i="14" s="1"/>
  <c r="J37" i="14" s="1"/>
  <c r="L37" i="14" s="1"/>
  <c r="H38" i="14"/>
  <c r="I38" i="14" s="1"/>
  <c r="J38" i="14" s="1"/>
  <c r="L38" i="14" s="1"/>
  <c r="H39" i="14"/>
  <c r="I39" i="14" s="1"/>
  <c r="J39" i="14" s="1"/>
  <c r="L39" i="14" s="1"/>
  <c r="H40" i="14"/>
  <c r="I40" i="14" s="1"/>
  <c r="J40" i="14" s="1"/>
  <c r="L40" i="14" s="1"/>
  <c r="H41" i="14"/>
  <c r="I41" i="14" s="1"/>
  <c r="J41" i="14" s="1"/>
  <c r="L41" i="14" s="1"/>
  <c r="H42" i="14"/>
  <c r="I42" i="14" s="1"/>
  <c r="J42" i="14" s="1"/>
  <c r="L42" i="14" s="1"/>
  <c r="H43" i="14"/>
  <c r="I43" i="14" s="1"/>
  <c r="J43" i="14" s="1"/>
  <c r="L43" i="14" s="1"/>
  <c r="H44" i="14"/>
  <c r="I44" i="14" s="1"/>
  <c r="J44" i="14" s="1"/>
  <c r="L44" i="14" s="1"/>
  <c r="H45" i="14"/>
  <c r="I45" i="14" s="1"/>
  <c r="J45" i="14" s="1"/>
  <c r="L45" i="14" s="1"/>
  <c r="H46" i="14"/>
  <c r="I46" i="14" s="1"/>
  <c r="J46" i="14" s="1"/>
  <c r="L46" i="14" s="1"/>
  <c r="H47" i="14"/>
  <c r="I47" i="14" s="1"/>
  <c r="J47" i="14" s="1"/>
  <c r="L47" i="14" s="1"/>
  <c r="H48" i="14"/>
  <c r="I48" i="14" s="1"/>
  <c r="J48" i="14" s="1"/>
  <c r="L48" i="14" s="1"/>
  <c r="H49" i="14"/>
  <c r="I49" i="14" s="1"/>
  <c r="J49" i="14" s="1"/>
  <c r="L49" i="14" s="1"/>
  <c r="H50" i="14"/>
  <c r="I50" i="14" s="1"/>
  <c r="J50" i="14" s="1"/>
  <c r="L50" i="14" s="1"/>
  <c r="H51" i="14"/>
  <c r="I51" i="14" s="1"/>
  <c r="J51" i="14" s="1"/>
  <c r="L51" i="14" s="1"/>
  <c r="H52" i="14"/>
  <c r="I52" i="14" s="1"/>
  <c r="J52" i="14" s="1"/>
  <c r="L52" i="14" s="1"/>
  <c r="H53" i="14"/>
  <c r="I53" i="14" s="1"/>
  <c r="J53" i="14" s="1"/>
  <c r="L53" i="14" s="1"/>
  <c r="H54" i="14"/>
  <c r="I54" i="14" s="1"/>
  <c r="J54" i="14" s="1"/>
  <c r="L54" i="14" s="1"/>
  <c r="H55" i="14"/>
  <c r="I55" i="14" s="1"/>
  <c r="J55" i="14" s="1"/>
  <c r="L55" i="14" s="1"/>
  <c r="H56" i="14"/>
  <c r="I56" i="14" s="1"/>
  <c r="J56" i="14" s="1"/>
  <c r="L56" i="14" s="1"/>
  <c r="H57" i="14"/>
  <c r="I57" i="14" s="1"/>
  <c r="J57" i="14" s="1"/>
  <c r="L57" i="14" s="1"/>
  <c r="H58" i="14"/>
  <c r="I58" i="14" s="1"/>
  <c r="J58" i="14" s="1"/>
  <c r="L58" i="14" s="1"/>
  <c r="H59" i="14"/>
  <c r="I59" i="14" s="1"/>
  <c r="J59" i="14" s="1"/>
  <c r="L59" i="14" s="1"/>
  <c r="H60" i="14"/>
  <c r="I60" i="14" s="1"/>
  <c r="J60" i="14" s="1"/>
  <c r="L60" i="14" s="1"/>
  <c r="Q25" i="2"/>
  <c r="Q24" i="2"/>
  <c r="Q23" i="2"/>
  <c r="D28" i="11"/>
  <c r="D29" i="11"/>
  <c r="D30" i="11"/>
  <c r="D31" i="11"/>
  <c r="D32" i="11"/>
  <c r="D33" i="11"/>
  <c r="D34" i="11"/>
  <c r="D35" i="11"/>
  <c r="D27" i="11"/>
  <c r="B34" i="2"/>
  <c r="B35" i="2"/>
  <c r="B36" i="2"/>
  <c r="B17" i="11" s="1"/>
  <c r="B30" i="11" s="1"/>
  <c r="B38" i="2"/>
  <c r="B39" i="2"/>
  <c r="B41" i="2"/>
  <c r="B33" i="2"/>
  <c r="F16" i="11"/>
  <c r="G16" i="11"/>
  <c r="H16" i="11"/>
  <c r="I16" i="11"/>
  <c r="J15" i="11"/>
  <c r="J16" i="11"/>
  <c r="K16" i="11"/>
  <c r="L16" i="11"/>
  <c r="M16" i="11"/>
  <c r="N16" i="11"/>
  <c r="O16" i="11"/>
  <c r="P16" i="11"/>
  <c r="E16" i="11"/>
  <c r="R16" i="11"/>
  <c r="S16" i="11"/>
  <c r="E17" i="7"/>
  <c r="F17" i="7"/>
  <c r="G17" i="7"/>
  <c r="H17" i="7"/>
  <c r="I17" i="7"/>
  <c r="J17" i="7"/>
  <c r="K17" i="7"/>
  <c r="L17" i="7"/>
  <c r="M17" i="7"/>
  <c r="N17" i="7"/>
  <c r="O17" i="7"/>
  <c r="P18" i="7"/>
  <c r="D20" i="6"/>
  <c r="D24" i="7" s="1"/>
  <c r="E20" i="6"/>
  <c r="E24" i="7" s="1"/>
  <c r="F20" i="6"/>
  <c r="F24" i="7" s="1"/>
  <c r="G20" i="6"/>
  <c r="G24" i="7" s="1"/>
  <c r="H20" i="6"/>
  <c r="H24" i="7" s="1"/>
  <c r="I20" i="6"/>
  <c r="I24" i="7" s="1"/>
  <c r="J20" i="6"/>
  <c r="J24" i="7" s="1"/>
  <c r="K20" i="6"/>
  <c r="K24" i="7" s="1"/>
  <c r="L20" i="6"/>
  <c r="L24" i="7" s="1"/>
  <c r="M20" i="6"/>
  <c r="M24" i="7" s="1"/>
  <c r="N20" i="6"/>
  <c r="N24" i="7" s="1"/>
  <c r="O20" i="6"/>
  <c r="O24" i="7" s="1"/>
  <c r="D21" i="6"/>
  <c r="D25" i="7" s="1"/>
  <c r="E21" i="6"/>
  <c r="E25" i="7" s="1"/>
  <c r="F21" i="6"/>
  <c r="F25" i="7" s="1"/>
  <c r="G21" i="6"/>
  <c r="G25" i="7" s="1"/>
  <c r="H21" i="6"/>
  <c r="H25" i="7" s="1"/>
  <c r="I21" i="6"/>
  <c r="I25" i="7" s="1"/>
  <c r="J21" i="6"/>
  <c r="J25" i="7" s="1"/>
  <c r="K21" i="6"/>
  <c r="K25" i="7" s="1"/>
  <c r="L21" i="6"/>
  <c r="L25" i="7" s="1"/>
  <c r="M21" i="6"/>
  <c r="M25" i="7" s="1"/>
  <c r="N21" i="6"/>
  <c r="N25" i="7" s="1"/>
  <c r="O21" i="6"/>
  <c r="O25" i="7" s="1"/>
  <c r="D33" i="6"/>
  <c r="D31" i="7" s="1"/>
  <c r="E33" i="6"/>
  <c r="E31" i="7" s="1"/>
  <c r="F33" i="6"/>
  <c r="F31" i="7" s="1"/>
  <c r="G33" i="6"/>
  <c r="G31" i="7" s="1"/>
  <c r="H33" i="6"/>
  <c r="H31" i="7" s="1"/>
  <c r="I33" i="6"/>
  <c r="I31" i="7" s="1"/>
  <c r="J33" i="6"/>
  <c r="J31" i="7" s="1"/>
  <c r="K33" i="6"/>
  <c r="K31" i="7" s="1"/>
  <c r="L33" i="6"/>
  <c r="L31" i="7" s="1"/>
  <c r="M33" i="6"/>
  <c r="M31" i="7" s="1"/>
  <c r="N33" i="6"/>
  <c r="N31" i="7" s="1"/>
  <c r="O33" i="6"/>
  <c r="O31" i="7" s="1"/>
  <c r="P33" i="7"/>
  <c r="Q17" i="7"/>
  <c r="Q33" i="6"/>
  <c r="Q31" i="7" s="1"/>
  <c r="R17" i="7"/>
  <c r="R33" i="6"/>
  <c r="R31" i="7" s="1"/>
  <c r="Q43" i="2"/>
  <c r="D26" i="6"/>
  <c r="L26" i="6"/>
  <c r="M26" i="6"/>
  <c r="P14" i="7"/>
  <c r="B30" i="7"/>
  <c r="B29" i="7"/>
  <c r="B28" i="7"/>
  <c r="B27" i="7"/>
  <c r="B26" i="7"/>
  <c r="B25" i="7"/>
  <c r="B24" i="7"/>
  <c r="E32" i="6"/>
  <c r="F32" i="6"/>
  <c r="G32" i="6"/>
  <c r="H32" i="6"/>
  <c r="I32" i="6"/>
  <c r="J32" i="6"/>
  <c r="K32" i="6"/>
  <c r="L32" i="6"/>
  <c r="M32" i="6"/>
  <c r="N32" i="6"/>
  <c r="O32" i="6"/>
  <c r="D32" i="6"/>
  <c r="P31" i="6"/>
  <c r="B33" i="6"/>
  <c r="B27" i="6"/>
  <c r="B26" i="6"/>
  <c r="B25" i="6"/>
  <c r="B24" i="6"/>
  <c r="B23" i="6"/>
  <c r="B21" i="6"/>
  <c r="B22" i="6"/>
  <c r="B20" i="6"/>
  <c r="B16" i="6"/>
  <c r="P35" i="5"/>
  <c r="O23" i="5"/>
  <c r="O25" i="6" s="1"/>
  <c r="O29" i="7" s="1"/>
  <c r="N23" i="5"/>
  <c r="N25" i="6" s="1"/>
  <c r="N29" i="7" s="1"/>
  <c r="M23" i="5"/>
  <c r="M25" i="6" s="1"/>
  <c r="M29" i="7" s="1"/>
  <c r="L23" i="5"/>
  <c r="K23" i="5"/>
  <c r="K25" i="6" s="1"/>
  <c r="K29" i="7" s="1"/>
  <c r="J23" i="5"/>
  <c r="J25" i="6" s="1"/>
  <c r="J29" i="7" s="1"/>
  <c r="I23" i="5"/>
  <c r="I25" i="6" s="1"/>
  <c r="I29" i="7" s="1"/>
  <c r="H23" i="5"/>
  <c r="H25" i="6" s="1"/>
  <c r="H29" i="7" s="1"/>
  <c r="G23" i="5"/>
  <c r="G25" i="6" s="1"/>
  <c r="G29" i="7" s="1"/>
  <c r="F23" i="5"/>
  <c r="E25" i="6"/>
  <c r="E29" i="7" s="1"/>
  <c r="P26" i="5"/>
  <c r="R26" i="5" s="1"/>
  <c r="P15" i="5"/>
  <c r="P24" i="5"/>
  <c r="R24" i="5" s="1"/>
  <c r="T24" i="5" s="1"/>
  <c r="P25" i="5"/>
  <c r="R25" i="5" s="1"/>
  <c r="T25" i="5" s="1"/>
  <c r="P27" i="5"/>
  <c r="R27" i="5" s="1"/>
  <c r="T27" i="5" s="1"/>
  <c r="P30" i="5"/>
  <c r="R30" i="5" s="1"/>
  <c r="P31" i="5"/>
  <c r="R31" i="5" s="1"/>
  <c r="T31" i="5" s="1"/>
  <c r="P32" i="5"/>
  <c r="R32" i="5" s="1"/>
  <c r="T32" i="5" s="1"/>
  <c r="P14" i="5"/>
  <c r="R14" i="5" s="1"/>
  <c r="Q20" i="6" s="1"/>
  <c r="Q24" i="7" s="1"/>
  <c r="C34" i="2"/>
  <c r="C36" i="2"/>
  <c r="C37" i="2"/>
  <c r="C39" i="2"/>
  <c r="C40" i="2"/>
  <c r="C41" i="2"/>
  <c r="C33" i="2"/>
  <c r="Q26" i="2"/>
  <c r="Q27" i="2"/>
  <c r="Q28" i="2"/>
  <c r="Q29" i="2"/>
  <c r="Q30" i="2"/>
  <c r="Q31" i="2"/>
  <c r="L34" i="6" l="1"/>
  <c r="C35" i="13"/>
  <c r="H34" i="6"/>
  <c r="F35" i="13"/>
  <c r="D35" i="13"/>
  <c r="E34" i="6"/>
  <c r="C23" i="13"/>
  <c r="C22" i="13" s="1"/>
  <c r="J39" i="11"/>
  <c r="J29" i="11"/>
  <c r="G39" i="11"/>
  <c r="G29" i="11"/>
  <c r="E39" i="11"/>
  <c r="E29" i="11"/>
  <c r="M39" i="11"/>
  <c r="M29" i="11"/>
  <c r="J38" i="11"/>
  <c r="J28" i="11"/>
  <c r="F39" i="11"/>
  <c r="F29" i="11"/>
  <c r="R39" i="11"/>
  <c r="R29" i="11"/>
  <c r="P17" i="7"/>
  <c r="P39" i="11"/>
  <c r="P29" i="11"/>
  <c r="L39" i="11"/>
  <c r="L29" i="11"/>
  <c r="I39" i="11"/>
  <c r="I29" i="11"/>
  <c r="N39" i="11"/>
  <c r="N29" i="11"/>
  <c r="S29" i="11"/>
  <c r="S39" i="11"/>
  <c r="O39" i="11"/>
  <c r="O29" i="11"/>
  <c r="K39" i="11"/>
  <c r="K29" i="11"/>
  <c r="H39" i="11"/>
  <c r="H29" i="11"/>
  <c r="N34" i="6"/>
  <c r="J21" i="14"/>
  <c r="L21" i="14" s="1"/>
  <c r="J20" i="14"/>
  <c r="L20" i="14" s="1"/>
  <c r="I15" i="14"/>
  <c r="J15" i="14" s="1"/>
  <c r="L15" i="14" s="1"/>
  <c r="I13" i="14"/>
  <c r="J13" i="14" s="1"/>
  <c r="L13" i="14" s="1"/>
  <c r="L18" i="14"/>
  <c r="C13" i="13"/>
  <c r="J12" i="14"/>
  <c r="D13" i="13"/>
  <c r="D12" i="13" s="1"/>
  <c r="F16" i="13"/>
  <c r="J16" i="14"/>
  <c r="J19" i="14"/>
  <c r="C16" i="13"/>
  <c r="J17" i="14"/>
  <c r="U81" i="5"/>
  <c r="O34" i="6"/>
  <c r="P28" i="5"/>
  <c r="R28" i="5" s="1"/>
  <c r="T28" i="5" s="1"/>
  <c r="R26" i="6" s="1"/>
  <c r="K34" i="6"/>
  <c r="G34" i="6"/>
  <c r="D16" i="13"/>
  <c r="I14" i="14"/>
  <c r="H61" i="14"/>
  <c r="H9" i="14" s="1"/>
  <c r="B54" i="2"/>
  <c r="B67" i="2" s="1"/>
  <c r="B22" i="11"/>
  <c r="B52" i="2"/>
  <c r="B65" i="2" s="1"/>
  <c r="B20" i="11"/>
  <c r="B43" i="11" s="1"/>
  <c r="B51" i="2"/>
  <c r="B64" i="2" s="1"/>
  <c r="B19" i="11"/>
  <c r="B48" i="2"/>
  <c r="B61" i="2" s="1"/>
  <c r="B16" i="11"/>
  <c r="B39" i="11" s="1"/>
  <c r="B47" i="2"/>
  <c r="B60" i="2" s="1"/>
  <c r="B15" i="11"/>
  <c r="B46" i="2"/>
  <c r="B59" i="2" s="1"/>
  <c r="B14" i="11"/>
  <c r="B37" i="11" s="1"/>
  <c r="B49" i="2"/>
  <c r="B62" i="2" s="1"/>
  <c r="B40" i="11"/>
  <c r="E35" i="13"/>
  <c r="E46" i="13"/>
  <c r="C44" i="13"/>
  <c r="C46" i="13"/>
  <c r="C47" i="13"/>
  <c r="D43" i="13"/>
  <c r="D44" i="13"/>
  <c r="D45" i="13"/>
  <c r="D46" i="13"/>
  <c r="D47" i="13"/>
  <c r="D48" i="13"/>
  <c r="E16" i="13"/>
  <c r="E48" i="13"/>
  <c r="E44" i="13"/>
  <c r="C43" i="13"/>
  <c r="C45" i="13"/>
  <c r="C48" i="13"/>
  <c r="F44" i="13"/>
  <c r="F46" i="13"/>
  <c r="F47" i="13"/>
  <c r="F48" i="13"/>
  <c r="E47" i="13"/>
  <c r="J34" i="6"/>
  <c r="F34" i="6"/>
  <c r="P23" i="5"/>
  <c r="D34" i="6"/>
  <c r="M34" i="6"/>
  <c r="I34" i="6"/>
  <c r="F56" i="5"/>
  <c r="D21" i="5"/>
  <c r="D19" i="5" s="1"/>
  <c r="P31" i="7"/>
  <c r="I48" i="5"/>
  <c r="H44" i="5"/>
  <c r="H54" i="5"/>
  <c r="F20" i="5" s="1"/>
  <c r="I46" i="5"/>
  <c r="G55" i="5"/>
  <c r="E21" i="5" s="1"/>
  <c r="E19" i="5" s="1"/>
  <c r="E33" i="5" s="1"/>
  <c r="I50" i="5"/>
  <c r="I52" i="5"/>
  <c r="T26" i="5"/>
  <c r="R32" i="6" s="1"/>
  <c r="R34" i="6" s="1"/>
  <c r="Q32" i="6"/>
  <c r="Q34" i="6" s="1"/>
  <c r="R16" i="5"/>
  <c r="Q22" i="6" s="1"/>
  <c r="Q26" i="7" s="1"/>
  <c r="T14" i="5"/>
  <c r="R20" i="6" s="1"/>
  <c r="R24" i="7" s="1"/>
  <c r="L25" i="6"/>
  <c r="L29" i="7" s="1"/>
  <c r="F25" i="6"/>
  <c r="F29" i="7" s="1"/>
  <c r="D25" i="6"/>
  <c r="D29" i="7" s="1"/>
  <c r="P20" i="6"/>
  <c r="P16" i="5"/>
  <c r="T17" i="5"/>
  <c r="T16" i="5" s="1"/>
  <c r="R22" i="6" s="1"/>
  <c r="R26" i="7" s="1"/>
  <c r="Q24" i="6"/>
  <c r="Q28" i="7" s="1"/>
  <c r="T22" i="5"/>
  <c r="R24" i="6" s="1"/>
  <c r="R28" i="7" s="1"/>
  <c r="P24" i="7"/>
  <c r="P28" i="7"/>
  <c r="P26" i="6"/>
  <c r="R23" i="5"/>
  <c r="Q25" i="6" s="1"/>
  <c r="Q29" i="7" s="1"/>
  <c r="T30" i="5"/>
  <c r="P24" i="6"/>
  <c r="P26" i="7"/>
  <c r="P25" i="7"/>
  <c r="R15" i="5"/>
  <c r="P32" i="6"/>
  <c r="P21" i="6"/>
  <c r="P33" i="6"/>
  <c r="P22" i="6"/>
  <c r="P41" i="2"/>
  <c r="P54" i="2" s="1"/>
  <c r="M41" i="2"/>
  <c r="M54" i="2" s="1"/>
  <c r="K41" i="2"/>
  <c r="K54" i="2" s="1"/>
  <c r="H41" i="2"/>
  <c r="H54" i="2" s="1"/>
  <c r="L35" i="2"/>
  <c r="Q33" i="2"/>
  <c r="P37" i="2"/>
  <c r="P50" i="2" s="1"/>
  <c r="J41" i="2"/>
  <c r="J54" i="2" s="1"/>
  <c r="R41" i="2"/>
  <c r="R54" i="2" s="1"/>
  <c r="O41" i="2"/>
  <c r="O54" i="2" s="1"/>
  <c r="L41" i="2"/>
  <c r="L54" i="2" s="1"/>
  <c r="I41" i="2"/>
  <c r="I54" i="2" s="1"/>
  <c r="G41" i="2"/>
  <c r="G54" i="2" s="1"/>
  <c r="E37" i="2"/>
  <c r="S37" i="2"/>
  <c r="R37" i="2"/>
  <c r="F37" i="2"/>
  <c r="F50" i="2" s="1"/>
  <c r="J37" i="2"/>
  <c r="N37" i="2"/>
  <c r="N50" i="2" s="1"/>
  <c r="I37" i="2"/>
  <c r="M37" i="2"/>
  <c r="M50" i="2" s="1"/>
  <c r="Q34" i="2"/>
  <c r="B40" i="2"/>
  <c r="B37" i="2"/>
  <c r="P16" i="6"/>
  <c r="E52" i="2"/>
  <c r="G35" i="2"/>
  <c r="C35" i="2"/>
  <c r="O37" i="2"/>
  <c r="O50" i="2" s="1"/>
  <c r="K37" i="2"/>
  <c r="G37" i="2"/>
  <c r="G50" i="2" s="1"/>
  <c r="E54" i="2"/>
  <c r="G39" i="2"/>
  <c r="G52" i="2" s="1"/>
  <c r="K39" i="2"/>
  <c r="K52" i="2" s="1"/>
  <c r="O39" i="2"/>
  <c r="O52" i="2" s="1"/>
  <c r="S39" i="2"/>
  <c r="S52" i="2" s="1"/>
  <c r="R39" i="2"/>
  <c r="R52" i="2" s="1"/>
  <c r="F39" i="2"/>
  <c r="F52" i="2" s="1"/>
  <c r="J39" i="2"/>
  <c r="J52" i="2" s="1"/>
  <c r="N39" i="2"/>
  <c r="N52" i="2" s="1"/>
  <c r="H35" i="2"/>
  <c r="R35" i="2"/>
  <c r="N35" i="2"/>
  <c r="F35" i="2"/>
  <c r="J35" i="2"/>
  <c r="S35" i="2"/>
  <c r="E35" i="2"/>
  <c r="I35" i="2"/>
  <c r="M35" i="2"/>
  <c r="P39" i="2"/>
  <c r="P52" i="2" s="1"/>
  <c r="L39" i="2"/>
  <c r="L52" i="2" s="1"/>
  <c r="H39" i="2"/>
  <c r="H52" i="2" s="1"/>
  <c r="K35" i="2"/>
  <c r="P35" i="2"/>
  <c r="S15" i="11"/>
  <c r="F15" i="11"/>
  <c r="Q16" i="11"/>
  <c r="Q39" i="11" s="1"/>
  <c r="N15" i="11"/>
  <c r="H18" i="11"/>
  <c r="L18" i="11"/>
  <c r="P18" i="11"/>
  <c r="G18" i="11"/>
  <c r="K18" i="11"/>
  <c r="O18" i="11"/>
  <c r="F18" i="11"/>
  <c r="J18" i="11"/>
  <c r="N18" i="11"/>
  <c r="S18" i="11"/>
  <c r="R18" i="11"/>
  <c r="M18" i="11"/>
  <c r="I18" i="11"/>
  <c r="E18" i="11"/>
  <c r="H22" i="11"/>
  <c r="L22" i="11"/>
  <c r="P22" i="11"/>
  <c r="G22" i="11"/>
  <c r="K22" i="11"/>
  <c r="O22" i="11"/>
  <c r="F22" i="11"/>
  <c r="J22" i="11"/>
  <c r="N22" i="11"/>
  <c r="S22" i="11"/>
  <c r="I22" i="11"/>
  <c r="E22" i="11"/>
  <c r="R22" i="11"/>
  <c r="M22" i="11"/>
  <c r="I19" i="11"/>
  <c r="M19" i="11"/>
  <c r="R19" i="11"/>
  <c r="H19" i="11"/>
  <c r="L19" i="11"/>
  <c r="P19" i="11"/>
  <c r="E19" i="11"/>
  <c r="G19" i="11"/>
  <c r="K19" i="11"/>
  <c r="O19" i="11"/>
  <c r="S19" i="11"/>
  <c r="F19" i="11"/>
  <c r="N19" i="11"/>
  <c r="J19" i="11"/>
  <c r="I15" i="11"/>
  <c r="M15" i="11"/>
  <c r="R15" i="11"/>
  <c r="H15" i="11"/>
  <c r="L15" i="11"/>
  <c r="P15" i="11"/>
  <c r="E15" i="11"/>
  <c r="G15" i="11"/>
  <c r="K15" i="11"/>
  <c r="O15" i="11"/>
  <c r="E36" i="2"/>
  <c r="S36" i="2"/>
  <c r="R36" i="2"/>
  <c r="F36" i="2"/>
  <c r="H36" i="2"/>
  <c r="J36" i="2"/>
  <c r="L36" i="2"/>
  <c r="N36" i="2"/>
  <c r="P36" i="2"/>
  <c r="G36" i="2"/>
  <c r="I36" i="2"/>
  <c r="K36" i="2"/>
  <c r="M36" i="2"/>
  <c r="O36" i="2"/>
  <c r="E38" i="2"/>
  <c r="G38" i="2"/>
  <c r="G51" i="2" s="1"/>
  <c r="I38" i="2"/>
  <c r="I51" i="2" s="1"/>
  <c r="K38" i="2"/>
  <c r="K51" i="2" s="1"/>
  <c r="M38" i="2"/>
  <c r="M51" i="2" s="1"/>
  <c r="O38" i="2"/>
  <c r="O51" i="2" s="1"/>
  <c r="S38" i="2"/>
  <c r="S51" i="2" s="1"/>
  <c r="R38" i="2"/>
  <c r="R51" i="2" s="1"/>
  <c r="F38" i="2"/>
  <c r="F51" i="2" s="1"/>
  <c r="H38" i="2"/>
  <c r="H51" i="2" s="1"/>
  <c r="J38" i="2"/>
  <c r="J51" i="2" s="1"/>
  <c r="L38" i="2"/>
  <c r="L51" i="2" s="1"/>
  <c r="N38" i="2"/>
  <c r="N51" i="2" s="1"/>
  <c r="P38" i="2"/>
  <c r="P51" i="2" s="1"/>
  <c r="E40" i="2"/>
  <c r="S40" i="2"/>
  <c r="S53" i="2" s="1"/>
  <c r="R40" i="2"/>
  <c r="R53" i="2" s="1"/>
  <c r="F40" i="2"/>
  <c r="F53" i="2" s="1"/>
  <c r="H40" i="2"/>
  <c r="H53" i="2" s="1"/>
  <c r="J40" i="2"/>
  <c r="J53" i="2" s="1"/>
  <c r="L40" i="2"/>
  <c r="L53" i="2" s="1"/>
  <c r="N40" i="2"/>
  <c r="N53" i="2" s="1"/>
  <c r="P40" i="2"/>
  <c r="P53" i="2" s="1"/>
  <c r="G40" i="2"/>
  <c r="G53" i="2" s="1"/>
  <c r="I40" i="2"/>
  <c r="I53" i="2" s="1"/>
  <c r="K40" i="2"/>
  <c r="K53" i="2" s="1"/>
  <c r="M40" i="2"/>
  <c r="M53" i="2" s="1"/>
  <c r="O40" i="2"/>
  <c r="O53" i="2" s="1"/>
  <c r="F13" i="13" l="1"/>
  <c r="F12" i="13" s="1"/>
  <c r="K12" i="14"/>
  <c r="D33" i="5"/>
  <c r="D29" i="5" s="1"/>
  <c r="D27" i="6" s="1"/>
  <c r="D30" i="7" s="1"/>
  <c r="C40" i="13"/>
  <c r="E28" i="11"/>
  <c r="E38" i="11"/>
  <c r="O42" i="11"/>
  <c r="O32" i="11"/>
  <c r="G45" i="11"/>
  <c r="G35" i="11"/>
  <c r="F38" i="11"/>
  <c r="F28" i="11"/>
  <c r="O38" i="11"/>
  <c r="O28" i="11"/>
  <c r="P38" i="11"/>
  <c r="P28" i="11"/>
  <c r="M38" i="11"/>
  <c r="M28" i="11"/>
  <c r="N42" i="11"/>
  <c r="N32" i="11"/>
  <c r="K42" i="11"/>
  <c r="K32" i="11"/>
  <c r="L42" i="11"/>
  <c r="L32" i="11"/>
  <c r="I42" i="11"/>
  <c r="I32" i="11"/>
  <c r="I45" i="11"/>
  <c r="I35" i="11"/>
  <c r="F45" i="11"/>
  <c r="F35" i="11"/>
  <c r="P45" i="11"/>
  <c r="P35" i="11"/>
  <c r="I41" i="11"/>
  <c r="I31" i="11"/>
  <c r="N41" i="11"/>
  <c r="N31" i="11"/>
  <c r="K41" i="11"/>
  <c r="K31" i="11"/>
  <c r="H41" i="11"/>
  <c r="H31" i="11"/>
  <c r="S38" i="11"/>
  <c r="S28" i="11"/>
  <c r="R38" i="11"/>
  <c r="R28" i="11"/>
  <c r="P42" i="11"/>
  <c r="P32" i="11"/>
  <c r="E45" i="11"/>
  <c r="E35" i="11"/>
  <c r="E41" i="11"/>
  <c r="E31" i="11"/>
  <c r="L41" i="11"/>
  <c r="L31" i="11"/>
  <c r="K38" i="11"/>
  <c r="K28" i="11"/>
  <c r="L38" i="11"/>
  <c r="L28" i="11"/>
  <c r="I38" i="11"/>
  <c r="I28" i="11"/>
  <c r="F42" i="11"/>
  <c r="F32" i="11"/>
  <c r="G42" i="11"/>
  <c r="G32" i="11"/>
  <c r="H42" i="11"/>
  <c r="H32" i="11"/>
  <c r="M45" i="11"/>
  <c r="M35" i="11"/>
  <c r="S45" i="11"/>
  <c r="S35" i="11"/>
  <c r="O45" i="11"/>
  <c r="O35" i="11"/>
  <c r="L45" i="11"/>
  <c r="L35" i="11"/>
  <c r="M41" i="11"/>
  <c r="M31" i="11"/>
  <c r="J41" i="11"/>
  <c r="J31" i="11"/>
  <c r="G41" i="11"/>
  <c r="G31" i="11"/>
  <c r="N38" i="11"/>
  <c r="N28" i="11"/>
  <c r="B27" i="11"/>
  <c r="J42" i="11"/>
  <c r="J32" i="11"/>
  <c r="M42" i="11"/>
  <c r="M32" i="11"/>
  <c r="J45" i="11"/>
  <c r="J35" i="11"/>
  <c r="S41" i="11"/>
  <c r="S31" i="11"/>
  <c r="O41" i="11"/>
  <c r="O31" i="11"/>
  <c r="G38" i="11"/>
  <c r="G28" i="11"/>
  <c r="H38" i="11"/>
  <c r="H28" i="11"/>
  <c r="B33" i="11"/>
  <c r="S42" i="11"/>
  <c r="S32" i="11"/>
  <c r="E42" i="11"/>
  <c r="E32" i="11"/>
  <c r="R42" i="11"/>
  <c r="R32" i="11"/>
  <c r="R45" i="11"/>
  <c r="R35" i="11"/>
  <c r="N45" i="11"/>
  <c r="N35" i="11"/>
  <c r="K45" i="11"/>
  <c r="K35" i="11"/>
  <c r="H45" i="11"/>
  <c r="H35" i="11"/>
  <c r="R41" i="11"/>
  <c r="R31" i="11"/>
  <c r="F41" i="11"/>
  <c r="F31" i="11"/>
  <c r="P41" i="11"/>
  <c r="P31" i="11"/>
  <c r="Q29" i="11"/>
  <c r="L17" i="14"/>
  <c r="F43" i="13"/>
  <c r="E43" i="13"/>
  <c r="L19" i="14"/>
  <c r="C12" i="13"/>
  <c r="L12" i="14"/>
  <c r="E13" i="13"/>
  <c r="E12" i="13" s="1"/>
  <c r="P29" i="7"/>
  <c r="Q26" i="6"/>
  <c r="D23" i="13"/>
  <c r="J14" i="14"/>
  <c r="I61" i="14"/>
  <c r="I9" i="14" s="1"/>
  <c r="O49" i="2"/>
  <c r="M49" i="2"/>
  <c r="N48" i="2"/>
  <c r="P48" i="2"/>
  <c r="M48" i="2"/>
  <c r="B45" i="11"/>
  <c r="B35" i="11"/>
  <c r="B53" i="2"/>
  <c r="B66" i="2" s="1"/>
  <c r="B21" i="11"/>
  <c r="B42" i="11"/>
  <c r="B32" i="11"/>
  <c r="B29" i="11"/>
  <c r="B38" i="11"/>
  <c r="B28" i="11"/>
  <c r="B50" i="2"/>
  <c r="B63" i="2" s="1"/>
  <c r="B18" i="11"/>
  <c r="C49" i="13"/>
  <c r="D49" i="13"/>
  <c r="T23" i="5"/>
  <c r="R25" i="6" s="1"/>
  <c r="R29" i="7" s="1"/>
  <c r="D23" i="6"/>
  <c r="D27" i="7" s="1"/>
  <c r="D34" i="5"/>
  <c r="D36" i="5" s="1"/>
  <c r="E24" i="11" s="1"/>
  <c r="G56" i="5"/>
  <c r="H55" i="5"/>
  <c r="F21" i="5" s="1"/>
  <c r="F19" i="5" s="1"/>
  <c r="I44" i="5"/>
  <c r="I54" i="5"/>
  <c r="G20" i="5" s="1"/>
  <c r="J48" i="5"/>
  <c r="J46" i="5"/>
  <c r="J52" i="5"/>
  <c r="J50" i="5"/>
  <c r="E29" i="5"/>
  <c r="E34" i="5" s="1"/>
  <c r="E36" i="5" s="1"/>
  <c r="F24" i="11" s="1"/>
  <c r="E23" i="6"/>
  <c r="E27" i="7" s="1"/>
  <c r="P34" i="6"/>
  <c r="P25" i="6"/>
  <c r="Q21" i="6"/>
  <c r="Q25" i="7" s="1"/>
  <c r="T15" i="5"/>
  <c r="R42" i="2"/>
  <c r="R47" i="2" s="1"/>
  <c r="Q41" i="2"/>
  <c r="Q54" i="2" s="1"/>
  <c r="I42" i="2"/>
  <c r="Q37" i="2"/>
  <c r="K42" i="2"/>
  <c r="K49" i="2" s="1"/>
  <c r="Q35" i="2"/>
  <c r="J42" i="2"/>
  <c r="J48" i="2" s="1"/>
  <c r="E42" i="2"/>
  <c r="E47" i="2" s="1"/>
  <c r="Q39" i="2"/>
  <c r="Q52" i="2" s="1"/>
  <c r="Q19" i="11"/>
  <c r="Q42" i="11" s="1"/>
  <c r="Q22" i="11"/>
  <c r="Q45" i="11" s="1"/>
  <c r="Q15" i="11"/>
  <c r="Q38" i="11" s="1"/>
  <c r="Q18" i="11"/>
  <c r="Q41" i="11" s="1"/>
  <c r="M42" i="2"/>
  <c r="Q38" i="2"/>
  <c r="Q51" i="2" s="1"/>
  <c r="E51" i="2"/>
  <c r="N42" i="2"/>
  <c r="N49" i="2"/>
  <c r="P42" i="2"/>
  <c r="G17" i="11"/>
  <c r="K17" i="11"/>
  <c r="O17" i="11"/>
  <c r="F17" i="11"/>
  <c r="J17" i="11"/>
  <c r="N17" i="11"/>
  <c r="E17" i="11"/>
  <c r="S17" i="11"/>
  <c r="I17" i="11"/>
  <c r="M17" i="11"/>
  <c r="R17" i="11"/>
  <c r="L17" i="11"/>
  <c r="H17" i="11"/>
  <c r="P17" i="11"/>
  <c r="Q36" i="2"/>
  <c r="G42" i="2"/>
  <c r="F42" i="2"/>
  <c r="S42" i="2"/>
  <c r="S48" i="2" s="1"/>
  <c r="L42" i="2"/>
  <c r="H14" i="11"/>
  <c r="L14" i="11"/>
  <c r="P14" i="11"/>
  <c r="G14" i="11"/>
  <c r="K14" i="11"/>
  <c r="O14" i="11"/>
  <c r="F14" i="11"/>
  <c r="J14" i="11"/>
  <c r="N14" i="11"/>
  <c r="S14" i="11"/>
  <c r="I14" i="11"/>
  <c r="E14" i="11"/>
  <c r="R14" i="11"/>
  <c r="M14" i="11"/>
  <c r="F20" i="11"/>
  <c r="J20" i="11"/>
  <c r="N20" i="11"/>
  <c r="S20" i="11"/>
  <c r="I20" i="11"/>
  <c r="M20" i="11"/>
  <c r="R20" i="11"/>
  <c r="H20" i="11"/>
  <c r="L20" i="11"/>
  <c r="P20" i="11"/>
  <c r="G20" i="11"/>
  <c r="O20" i="11"/>
  <c r="E20" i="11"/>
  <c r="K20" i="11"/>
  <c r="G21" i="11"/>
  <c r="K21" i="11"/>
  <c r="O21" i="11"/>
  <c r="F21" i="11"/>
  <c r="J21" i="11"/>
  <c r="N21" i="11"/>
  <c r="E21" i="11"/>
  <c r="S21" i="11"/>
  <c r="I21" i="11"/>
  <c r="M21" i="11"/>
  <c r="R21" i="11"/>
  <c r="H21" i="11"/>
  <c r="P21" i="11"/>
  <c r="L21" i="11"/>
  <c r="H42" i="2"/>
  <c r="O42" i="2"/>
  <c r="E53" i="2"/>
  <c r="Q40" i="2"/>
  <c r="Q53" i="2" s="1"/>
  <c r="K61" i="14" l="1"/>
  <c r="K9" i="14" s="1"/>
  <c r="F23" i="13"/>
  <c r="F45" i="13"/>
  <c r="F49" i="13"/>
  <c r="S44" i="11"/>
  <c r="S34" i="11"/>
  <c r="M43" i="11"/>
  <c r="M33" i="11"/>
  <c r="O40" i="11"/>
  <c r="O30" i="11"/>
  <c r="R44" i="11"/>
  <c r="R34" i="11"/>
  <c r="O44" i="11"/>
  <c r="O34" i="11"/>
  <c r="L43" i="11"/>
  <c r="L33" i="11"/>
  <c r="F43" i="11"/>
  <c r="F33" i="11"/>
  <c r="P40" i="11"/>
  <c r="P30" i="11"/>
  <c r="M40" i="11"/>
  <c r="M30" i="11"/>
  <c r="N40" i="11"/>
  <c r="N30" i="11"/>
  <c r="K40" i="11"/>
  <c r="K30" i="11"/>
  <c r="F44" i="11"/>
  <c r="F34" i="11"/>
  <c r="P43" i="11"/>
  <c r="P33" i="11"/>
  <c r="J43" i="11"/>
  <c r="J33" i="11"/>
  <c r="R40" i="11"/>
  <c r="R30" i="11"/>
  <c r="E44" i="11"/>
  <c r="E34" i="11"/>
  <c r="E43" i="11"/>
  <c r="E33" i="11"/>
  <c r="I43" i="11"/>
  <c r="I33" i="11"/>
  <c r="L44" i="11"/>
  <c r="L34" i="11"/>
  <c r="M44" i="11"/>
  <c r="M34" i="11"/>
  <c r="N44" i="11"/>
  <c r="N34" i="11"/>
  <c r="K44" i="11"/>
  <c r="K34" i="11"/>
  <c r="O43" i="11"/>
  <c r="O33" i="11"/>
  <c r="H43" i="11"/>
  <c r="H33" i="11"/>
  <c r="S33" i="11"/>
  <c r="S43" i="11"/>
  <c r="H40" i="11"/>
  <c r="H30" i="11"/>
  <c r="I40" i="11"/>
  <c r="I30" i="11"/>
  <c r="J40" i="11"/>
  <c r="J30" i="11"/>
  <c r="G40" i="11"/>
  <c r="G30" i="11"/>
  <c r="H44" i="11"/>
  <c r="H34" i="11"/>
  <c r="K43" i="11"/>
  <c r="K33" i="11"/>
  <c r="E40" i="11"/>
  <c r="E30" i="11"/>
  <c r="P44" i="11"/>
  <c r="P34" i="11"/>
  <c r="I44" i="11"/>
  <c r="I34" i="11"/>
  <c r="J44" i="11"/>
  <c r="J34" i="11"/>
  <c r="G44" i="11"/>
  <c r="G34" i="11"/>
  <c r="G43" i="11"/>
  <c r="G33" i="11"/>
  <c r="R43" i="11"/>
  <c r="R33" i="11"/>
  <c r="N43" i="11"/>
  <c r="N33" i="11"/>
  <c r="L40" i="11"/>
  <c r="L30" i="11"/>
  <c r="S40" i="11"/>
  <c r="S30" i="11"/>
  <c r="F40" i="11"/>
  <c r="F30" i="11"/>
  <c r="Q32" i="11"/>
  <c r="Q31" i="11"/>
  <c r="Q28" i="11"/>
  <c r="Q35" i="11"/>
  <c r="K48" i="2"/>
  <c r="J49" i="2"/>
  <c r="L16" i="14"/>
  <c r="L14" i="14"/>
  <c r="J61" i="14"/>
  <c r="J9" i="14" s="1"/>
  <c r="E23" i="13"/>
  <c r="E45" i="13"/>
  <c r="E49" i="13" s="1"/>
  <c r="D13" i="8" s="1"/>
  <c r="D22" i="13"/>
  <c r="D40" i="13"/>
  <c r="S50" i="2"/>
  <c r="S49" i="2"/>
  <c r="S46" i="2"/>
  <c r="S47" i="2"/>
  <c r="R50" i="2"/>
  <c r="R48" i="2"/>
  <c r="R49" i="2"/>
  <c r="Q14" i="6"/>
  <c r="Q16" i="7" s="1"/>
  <c r="R46" i="2"/>
  <c r="H50" i="2"/>
  <c r="H47" i="2"/>
  <c r="H46" i="2"/>
  <c r="F46" i="2"/>
  <c r="F27" i="11" s="1"/>
  <c r="F37" i="11" s="1"/>
  <c r="F47" i="2"/>
  <c r="H49" i="2"/>
  <c r="L46" i="2"/>
  <c r="L47" i="2"/>
  <c r="G46" i="2"/>
  <c r="G47" i="2"/>
  <c r="P46" i="2"/>
  <c r="P47" i="2"/>
  <c r="J44" i="2"/>
  <c r="J46" i="2"/>
  <c r="J47" i="2"/>
  <c r="I44" i="2"/>
  <c r="I47" i="2"/>
  <c r="I46" i="2"/>
  <c r="F49" i="2"/>
  <c r="L48" i="2"/>
  <c r="G49" i="2"/>
  <c r="L49" i="2"/>
  <c r="M47" i="2"/>
  <c r="M46" i="2"/>
  <c r="F48" i="2"/>
  <c r="O48" i="2"/>
  <c r="O46" i="2"/>
  <c r="O47" i="2"/>
  <c r="N47" i="2"/>
  <c r="N46" i="2"/>
  <c r="K44" i="2"/>
  <c r="K46" i="2"/>
  <c r="K47" i="2"/>
  <c r="H48" i="2"/>
  <c r="I49" i="2"/>
  <c r="G48" i="2"/>
  <c r="P49" i="2"/>
  <c r="I48" i="2"/>
  <c r="K50" i="2"/>
  <c r="J50" i="2"/>
  <c r="I50" i="2"/>
  <c r="E50" i="2"/>
  <c r="E49" i="2"/>
  <c r="E48" i="2"/>
  <c r="E44" i="2"/>
  <c r="E46" i="2"/>
  <c r="E27" i="11" s="1"/>
  <c r="E37" i="11" s="1"/>
  <c r="R44" i="2"/>
  <c r="B34" i="11"/>
  <c r="B44" i="11"/>
  <c r="B41" i="11"/>
  <c r="B31" i="11"/>
  <c r="F23" i="6"/>
  <c r="F27" i="7" s="1"/>
  <c r="F33" i="5"/>
  <c r="F29" i="5" s="1"/>
  <c r="F27" i="6" s="1"/>
  <c r="F30" i="7" s="1"/>
  <c r="H56" i="5"/>
  <c r="K48" i="5"/>
  <c r="I55" i="5"/>
  <c r="K52" i="5"/>
  <c r="K50" i="5"/>
  <c r="K46" i="5"/>
  <c r="J54" i="5"/>
  <c r="H20" i="5" s="1"/>
  <c r="J44" i="5"/>
  <c r="E27" i="6"/>
  <c r="R21" i="6"/>
  <c r="R25" i="7" s="1"/>
  <c r="J14" i="6"/>
  <c r="J16" i="7" s="1"/>
  <c r="D14" i="6"/>
  <c r="I14" i="6"/>
  <c r="I16" i="7" s="1"/>
  <c r="H14" i="6"/>
  <c r="H16" i="7" s="1"/>
  <c r="Q20" i="11"/>
  <c r="Q43" i="11" s="1"/>
  <c r="S23" i="11"/>
  <c r="Q17" i="11"/>
  <c r="Q40" i="11" s="1"/>
  <c r="M23" i="11"/>
  <c r="L23" i="11"/>
  <c r="R23" i="11"/>
  <c r="N23" i="11"/>
  <c r="K23" i="11"/>
  <c r="H23" i="11"/>
  <c r="O23" i="11"/>
  <c r="J23" i="11"/>
  <c r="G23" i="11"/>
  <c r="Q21" i="11"/>
  <c r="Q44" i="11" s="1"/>
  <c r="I23" i="11"/>
  <c r="F23" i="11"/>
  <c r="F25" i="11" s="1"/>
  <c r="P23" i="11"/>
  <c r="N14" i="6"/>
  <c r="N16" i="7" s="1"/>
  <c r="O44" i="2"/>
  <c r="O14" i="6"/>
  <c r="O16" i="7" s="1"/>
  <c r="P44" i="2"/>
  <c r="G14" i="6"/>
  <c r="G16" i="7" s="1"/>
  <c r="H44" i="2"/>
  <c r="E14" i="6"/>
  <c r="E16" i="7" s="1"/>
  <c r="F44" i="2"/>
  <c r="L14" i="6"/>
  <c r="L16" i="7" s="1"/>
  <c r="M44" i="2"/>
  <c r="Q42" i="2"/>
  <c r="Q47" i="2" s="1"/>
  <c r="K14" i="6"/>
  <c r="K16" i="7" s="1"/>
  <c r="L44" i="2"/>
  <c r="F14" i="6"/>
  <c r="F16" i="7" s="1"/>
  <c r="G44" i="2"/>
  <c r="M14" i="6"/>
  <c r="M16" i="7" s="1"/>
  <c r="N44" i="2"/>
  <c r="R14" i="6"/>
  <c r="S44" i="2"/>
  <c r="Q14" i="11"/>
  <c r="E23" i="11"/>
  <c r="E25" i="11" s="1"/>
  <c r="C54" i="13" l="1"/>
  <c r="D20" i="7"/>
  <c r="C52" i="13"/>
  <c r="C55" i="13"/>
  <c r="C57" i="13" s="1"/>
  <c r="F22" i="13"/>
  <c r="R15" i="6"/>
  <c r="F40" i="13"/>
  <c r="D15" i="6"/>
  <c r="D17" i="6" s="1"/>
  <c r="R17" i="6"/>
  <c r="F14" i="8" s="1"/>
  <c r="R16" i="7"/>
  <c r="D16" i="7"/>
  <c r="Q34" i="11"/>
  <c r="Q33" i="11"/>
  <c r="Q30" i="11"/>
  <c r="E40" i="13"/>
  <c r="E22" i="13"/>
  <c r="L61" i="14"/>
  <c r="L9" i="14" s="1"/>
  <c r="Q50" i="2"/>
  <c r="Q49" i="2"/>
  <c r="Q48" i="2"/>
  <c r="Q44" i="2"/>
  <c r="Q46" i="2"/>
  <c r="F34" i="5"/>
  <c r="F36" i="5" s="1"/>
  <c r="G24" i="11" s="1"/>
  <c r="G27" i="11" s="1"/>
  <c r="G37" i="11" s="1"/>
  <c r="I56" i="5"/>
  <c r="G21" i="5"/>
  <c r="G19" i="5" s="1"/>
  <c r="K54" i="5"/>
  <c r="I20" i="5" s="1"/>
  <c r="K44" i="5"/>
  <c r="J55" i="5"/>
  <c r="L52" i="5"/>
  <c r="L50" i="5"/>
  <c r="L48" i="5"/>
  <c r="L46" i="5"/>
  <c r="E30" i="7"/>
  <c r="P14" i="6"/>
  <c r="Q23" i="11"/>
  <c r="R21" i="7"/>
  <c r="C56" i="13" l="1"/>
  <c r="E20" i="7"/>
  <c r="R37" i="6"/>
  <c r="G25" i="11"/>
  <c r="G33" i="5"/>
  <c r="G29" i="5" s="1"/>
  <c r="G27" i="6" s="1"/>
  <c r="G30" i="7" s="1"/>
  <c r="G23" i="6"/>
  <c r="J56" i="5"/>
  <c r="H21" i="5"/>
  <c r="H19" i="5" s="1"/>
  <c r="K55" i="5"/>
  <c r="I21" i="5" s="1"/>
  <c r="I19" i="5" s="1"/>
  <c r="M46" i="5"/>
  <c r="M50" i="5"/>
  <c r="M52" i="5"/>
  <c r="M48" i="5"/>
  <c r="L44" i="5"/>
  <c r="L54" i="5"/>
  <c r="J20" i="5" s="1"/>
  <c r="F20" i="7" l="1"/>
  <c r="K56" i="5"/>
  <c r="L55" i="5"/>
  <c r="J21" i="5" s="1"/>
  <c r="J19" i="5" s="1"/>
  <c r="I23" i="6"/>
  <c r="I33" i="5"/>
  <c r="I29" i="5" s="1"/>
  <c r="I27" i="6" s="1"/>
  <c r="I30" i="7" s="1"/>
  <c r="H33" i="5"/>
  <c r="H29" i="5" s="1"/>
  <c r="H27" i="6" s="1"/>
  <c r="H30" i="7" s="1"/>
  <c r="H23" i="6"/>
  <c r="G27" i="7"/>
  <c r="G34" i="5"/>
  <c r="G36" i="5" s="1"/>
  <c r="H24" i="11" s="1"/>
  <c r="H27" i="11" s="1"/>
  <c r="H37" i="11" s="1"/>
  <c r="N50" i="5"/>
  <c r="N52" i="5"/>
  <c r="N48" i="5"/>
  <c r="N46" i="5"/>
  <c r="M44" i="5"/>
  <c r="M54" i="5"/>
  <c r="K20" i="5" s="1"/>
  <c r="G20" i="7" l="1"/>
  <c r="H20" i="7" s="1"/>
  <c r="L56" i="5"/>
  <c r="H25" i="11"/>
  <c r="I34" i="5"/>
  <c r="I36" i="5" s="1"/>
  <c r="J24" i="11" s="1"/>
  <c r="J27" i="11" s="1"/>
  <c r="J37" i="11" s="1"/>
  <c r="J33" i="5"/>
  <c r="J29" i="5" s="1"/>
  <c r="J27" i="6" s="1"/>
  <c r="J30" i="7" s="1"/>
  <c r="J23" i="6"/>
  <c r="H27" i="7"/>
  <c r="H34" i="5"/>
  <c r="H36" i="5" s="1"/>
  <c r="I24" i="11" s="1"/>
  <c r="I27" i="11" s="1"/>
  <c r="I37" i="11" s="1"/>
  <c r="I27" i="7"/>
  <c r="N54" i="5"/>
  <c r="L20" i="5" s="1"/>
  <c r="N44" i="5"/>
  <c r="O48" i="5"/>
  <c r="O52" i="5"/>
  <c r="O46" i="5"/>
  <c r="M55" i="5"/>
  <c r="K21" i="5" s="1"/>
  <c r="K19" i="5" s="1"/>
  <c r="O50" i="5"/>
  <c r="I20" i="7" l="1"/>
  <c r="I25" i="11"/>
  <c r="J25" i="11"/>
  <c r="M56" i="5"/>
  <c r="N55" i="5"/>
  <c r="L21" i="5" s="1"/>
  <c r="L19" i="5" s="1"/>
  <c r="J34" i="5"/>
  <c r="J36" i="5" s="1"/>
  <c r="K24" i="11" s="1"/>
  <c r="K27" i="11" s="1"/>
  <c r="K37" i="11" s="1"/>
  <c r="K23" i="6"/>
  <c r="K33" i="5"/>
  <c r="K29" i="5" s="1"/>
  <c r="K27" i="6" s="1"/>
  <c r="K30" i="7" s="1"/>
  <c r="J27" i="7"/>
  <c r="P52" i="5"/>
  <c r="O44" i="5"/>
  <c r="O54" i="5"/>
  <c r="M20" i="5" s="1"/>
  <c r="P46" i="5"/>
  <c r="P50" i="5"/>
  <c r="Q48" i="5"/>
  <c r="P48" i="5"/>
  <c r="J20" i="7" l="1"/>
  <c r="K20" i="7" s="1"/>
  <c r="L20" i="7" s="1"/>
  <c r="M20" i="7" s="1"/>
  <c r="N20" i="7" s="1"/>
  <c r="O20" i="7" s="1"/>
  <c r="N56" i="5"/>
  <c r="K25" i="11"/>
  <c r="K34" i="5"/>
  <c r="K36" i="5" s="1"/>
  <c r="L24" i="11" s="1"/>
  <c r="L27" i="11" s="1"/>
  <c r="L37" i="11" s="1"/>
  <c r="O55" i="5"/>
  <c r="M21" i="5" s="1"/>
  <c r="M19" i="5" s="1"/>
  <c r="L23" i="6"/>
  <c r="L33" i="5"/>
  <c r="L29" i="5" s="1"/>
  <c r="L27" i="6" s="1"/>
  <c r="L30" i="7" s="1"/>
  <c r="K27" i="7"/>
  <c r="P44" i="5"/>
  <c r="P54" i="5"/>
  <c r="N20" i="5" s="1"/>
  <c r="S43" i="5"/>
  <c r="T43" i="5" s="1"/>
  <c r="Q52" i="5"/>
  <c r="R52" i="5" s="1"/>
  <c r="R51" i="5"/>
  <c r="Q46" i="5"/>
  <c r="R46" i="5" s="1"/>
  <c r="R45" i="5"/>
  <c r="R48" i="5"/>
  <c r="R47" i="5"/>
  <c r="Q50" i="5"/>
  <c r="R50" i="5" s="1"/>
  <c r="R49" i="5"/>
  <c r="O56" i="5" l="1"/>
  <c r="L25" i="11"/>
  <c r="L34" i="5"/>
  <c r="L36" i="5" s="1"/>
  <c r="M24" i="11" s="1"/>
  <c r="M27" i="11" s="1"/>
  <c r="M37" i="11" s="1"/>
  <c r="L27" i="7"/>
  <c r="M23" i="6"/>
  <c r="M33" i="5"/>
  <c r="M29" i="5" s="1"/>
  <c r="M27" i="6" s="1"/>
  <c r="M30" i="7" s="1"/>
  <c r="T48" i="5"/>
  <c r="S48" i="5"/>
  <c r="T52" i="5"/>
  <c r="S52" i="5"/>
  <c r="P55" i="5"/>
  <c r="S50" i="5"/>
  <c r="T50" i="5"/>
  <c r="S46" i="5"/>
  <c r="T46" i="5"/>
  <c r="Q44" i="5"/>
  <c r="Q54" i="5"/>
  <c r="O20" i="5" s="1"/>
  <c r="P20" i="5" s="1"/>
  <c r="R43" i="5"/>
  <c r="M25" i="11" l="1"/>
  <c r="M34" i="5"/>
  <c r="M36" i="5" s="1"/>
  <c r="N24" i="11" s="1"/>
  <c r="N27" i="11" s="1"/>
  <c r="N37" i="11" s="1"/>
  <c r="P56" i="5"/>
  <c r="N21" i="5"/>
  <c r="N19" i="5" s="1"/>
  <c r="M27" i="7"/>
  <c r="Q55" i="5"/>
  <c r="R44" i="5"/>
  <c r="R54" i="5"/>
  <c r="N25" i="11" l="1"/>
  <c r="N23" i="6"/>
  <c r="N33" i="5"/>
  <c r="N29" i="5" s="1"/>
  <c r="N27" i="6" s="1"/>
  <c r="N30" i="7" s="1"/>
  <c r="Q56" i="5"/>
  <c r="O21" i="5"/>
  <c r="R55" i="5"/>
  <c r="R56" i="5" s="1"/>
  <c r="S44" i="5"/>
  <c r="S54" i="5"/>
  <c r="R20" i="5" s="1"/>
  <c r="N34" i="5" l="1"/>
  <c r="N36" i="5" s="1"/>
  <c r="O24" i="11" s="1"/>
  <c r="O27" i="11" s="1"/>
  <c r="O37" i="11" s="1"/>
  <c r="S55" i="5"/>
  <c r="R21" i="5" s="1"/>
  <c r="R19" i="5" s="1"/>
  <c r="O19" i="5"/>
  <c r="P21" i="5"/>
  <c r="T44" i="5"/>
  <c r="T54" i="5"/>
  <c r="T20" i="5" s="1"/>
  <c r="O25" i="11" l="1"/>
  <c r="S56" i="5"/>
  <c r="Q23" i="6"/>
  <c r="R33" i="5"/>
  <c r="R29" i="5" s="1"/>
  <c r="Q27" i="6" s="1"/>
  <c r="Q30" i="7" s="1"/>
  <c r="O33" i="5"/>
  <c r="O23" i="6"/>
  <c r="P19" i="5"/>
  <c r="T55" i="5"/>
  <c r="R34" i="5" l="1"/>
  <c r="R36" i="5" s="1"/>
  <c r="R24" i="11" s="1"/>
  <c r="R27" i="11" s="1"/>
  <c r="R37" i="11" s="1"/>
  <c r="T56" i="5"/>
  <c r="T21" i="5"/>
  <c r="T19" i="5" s="1"/>
  <c r="Q27" i="7"/>
  <c r="O27" i="7"/>
  <c r="P23" i="6"/>
  <c r="O29" i="5"/>
  <c r="P33" i="5"/>
  <c r="R25" i="11" l="1"/>
  <c r="R23" i="6"/>
  <c r="T33" i="5"/>
  <c r="T29" i="5" s="1"/>
  <c r="R27" i="6" s="1"/>
  <c r="R30" i="7" s="1"/>
  <c r="O27" i="6"/>
  <c r="P29" i="5"/>
  <c r="P34" i="5" s="1"/>
  <c r="P36" i="5" s="1"/>
  <c r="Q24" i="11" s="1"/>
  <c r="Q27" i="11" s="1"/>
  <c r="Q37" i="11" s="1"/>
  <c r="O34" i="5"/>
  <c r="O36" i="5" s="1"/>
  <c r="P24" i="11" s="1"/>
  <c r="P27" i="11" s="1"/>
  <c r="P37" i="11" s="1"/>
  <c r="P27" i="7"/>
  <c r="Q25" i="11" l="1"/>
  <c r="P25" i="11"/>
  <c r="T34" i="5"/>
  <c r="T36" i="5" s="1"/>
  <c r="S24" i="11" s="1"/>
  <c r="S27" i="11" s="1"/>
  <c r="S37" i="11" s="1"/>
  <c r="R27" i="7"/>
  <c r="O30" i="7"/>
  <c r="P27" i="6"/>
  <c r="S25" i="11" l="1"/>
  <c r="P30" i="7"/>
  <c r="E68" i="2" l="1"/>
  <c r="D19" i="6" s="1"/>
  <c r="N68" i="2"/>
  <c r="M19" i="6" s="1"/>
  <c r="K68" i="2"/>
  <c r="J19" i="6" s="1"/>
  <c r="P68" i="2"/>
  <c r="O19" i="6" s="1"/>
  <c r="L68" i="2"/>
  <c r="K19" i="6" s="1"/>
  <c r="G68" i="2"/>
  <c r="F19" i="6" s="1"/>
  <c r="I68" i="2"/>
  <c r="H19" i="6" s="1"/>
  <c r="M68" i="2"/>
  <c r="L19" i="6" s="1"/>
  <c r="Q59" i="2"/>
  <c r="Q68" i="2" s="1"/>
  <c r="F68" i="2"/>
  <c r="E19" i="6" s="1"/>
  <c r="O68" i="2"/>
  <c r="N19" i="6" s="1"/>
  <c r="H68" i="2"/>
  <c r="G19" i="6" s="1"/>
  <c r="J68" i="2"/>
  <c r="I19" i="6" s="1"/>
  <c r="R68" i="2"/>
  <c r="Q19" i="6" s="1"/>
  <c r="S68" i="2"/>
  <c r="R19" i="6" s="1"/>
  <c r="O23" i="7" l="1"/>
  <c r="O34" i="7" s="1"/>
  <c r="O28" i="6"/>
  <c r="R23" i="7"/>
  <c r="R28" i="6"/>
  <c r="N23" i="7"/>
  <c r="N34" i="7" s="1"/>
  <c r="N28" i="6"/>
  <c r="H23" i="7"/>
  <c r="H34" i="7" s="1"/>
  <c r="H28" i="6"/>
  <c r="J23" i="7"/>
  <c r="J28" i="6"/>
  <c r="G23" i="7"/>
  <c r="G28" i="6"/>
  <c r="Q23" i="7"/>
  <c r="Q28" i="6"/>
  <c r="E23" i="7"/>
  <c r="E34" i="7" s="1"/>
  <c r="E28" i="6"/>
  <c r="F23" i="7"/>
  <c r="F34" i="7" s="1"/>
  <c r="F28" i="6"/>
  <c r="M23" i="7"/>
  <c r="M28" i="6"/>
  <c r="L23" i="7"/>
  <c r="L34" i="7" s="1"/>
  <c r="L28" i="6"/>
  <c r="I23" i="7"/>
  <c r="I34" i="7" s="1"/>
  <c r="I28" i="6"/>
  <c r="K23" i="7"/>
  <c r="K34" i="7" s="1"/>
  <c r="K28" i="6"/>
  <c r="D23" i="7"/>
  <c r="D28" i="6"/>
  <c r="P19" i="6"/>
  <c r="P28" i="6" s="1"/>
  <c r="F15" i="8" l="1"/>
  <c r="F16" i="8" s="1"/>
  <c r="F17" i="8" s="1"/>
  <c r="R29" i="6"/>
  <c r="R36" i="6" s="1"/>
  <c r="R38" i="6" s="1"/>
  <c r="P23" i="7"/>
  <c r="D34" i="7"/>
  <c r="E15" i="8"/>
  <c r="D15" i="8"/>
  <c r="D29" i="6"/>
  <c r="D36" i="6" s="1"/>
  <c r="D37" i="6"/>
  <c r="E15" i="6"/>
  <c r="E17" i="6" s="1"/>
  <c r="E21" i="7" l="1"/>
  <c r="E35" i="7" s="1"/>
  <c r="E37" i="6"/>
  <c r="E29" i="6"/>
  <c r="E36" i="6" s="1"/>
  <c r="D38" i="6"/>
  <c r="F15" i="6"/>
  <c r="F17" i="6" s="1"/>
  <c r="D21" i="7"/>
  <c r="D35" i="7" s="1"/>
  <c r="D37" i="7" s="1"/>
  <c r="E14" i="7" s="1"/>
  <c r="F37" i="6" l="1"/>
  <c r="G32" i="7" s="1"/>
  <c r="G34" i="7" s="1"/>
  <c r="F21" i="7"/>
  <c r="F35" i="7" s="1"/>
  <c r="F29" i="6"/>
  <c r="F36" i="6" s="1"/>
  <c r="E38" i="6"/>
  <c r="E37" i="7"/>
  <c r="F14" i="7" s="1"/>
  <c r="F38" i="6" l="1"/>
  <c r="G15" i="6"/>
  <c r="G17" i="6" s="1"/>
  <c r="G37" i="6" s="1"/>
  <c r="F37" i="7"/>
  <c r="G14" i="7" s="1"/>
  <c r="G29" i="6" l="1"/>
  <c r="G36" i="6" s="1"/>
  <c r="G38" i="6" s="1"/>
  <c r="G21" i="7"/>
  <c r="G35" i="7" s="1"/>
  <c r="G37" i="7" s="1"/>
  <c r="H14" i="7" s="1"/>
  <c r="H15" i="6" l="1"/>
  <c r="H17" i="6" s="1"/>
  <c r="H37" i="6" s="1"/>
  <c r="H29" i="6" l="1"/>
  <c r="H36" i="6" s="1"/>
  <c r="H38" i="6" s="1"/>
  <c r="H21" i="7"/>
  <c r="H35" i="7" s="1"/>
  <c r="H37" i="7" s="1"/>
  <c r="I14" i="7" s="1"/>
  <c r="I15" i="6" l="1"/>
  <c r="I17" i="6" s="1"/>
  <c r="I37" i="6" l="1"/>
  <c r="I29" i="6"/>
  <c r="I36" i="6" s="1"/>
  <c r="I38" i="6" l="1"/>
  <c r="I21" i="7"/>
  <c r="I35" i="7" s="1"/>
  <c r="I37" i="7" s="1"/>
  <c r="J14" i="7" s="1"/>
  <c r="J32" i="7"/>
  <c r="J15" i="6" l="1"/>
  <c r="J17" i="6" s="1"/>
  <c r="J34" i="7"/>
  <c r="J37" i="6" l="1"/>
  <c r="J29" i="6"/>
  <c r="J36" i="6" s="1"/>
  <c r="J38" i="6" l="1"/>
  <c r="J21" i="7"/>
  <c r="J35" i="7" s="1"/>
  <c r="J37" i="7" s="1"/>
  <c r="K14" i="7" s="1"/>
  <c r="K15" i="6" l="1"/>
  <c r="K17" i="6" s="1"/>
  <c r="K37" i="6" l="1"/>
  <c r="K29" i="6"/>
  <c r="K36" i="6" s="1"/>
  <c r="K38" i="6" l="1"/>
  <c r="K21" i="7"/>
  <c r="K35" i="7" s="1"/>
  <c r="K37" i="7" s="1"/>
  <c r="L14" i="7" s="1"/>
  <c r="L15" i="6" l="1"/>
  <c r="L17" i="6" l="1"/>
  <c r="L37" i="6" l="1"/>
  <c r="M32" i="7" s="1"/>
  <c r="L29" i="6"/>
  <c r="L36" i="6" s="1"/>
  <c r="L38" i="6" l="1"/>
  <c r="M34" i="7"/>
  <c r="P32" i="7"/>
  <c r="P34" i="7" s="1"/>
  <c r="L21" i="7"/>
  <c r="L35" i="7" s="1"/>
  <c r="L37" i="7" s="1"/>
  <c r="M14" i="7" s="1"/>
  <c r="M15" i="6" l="1"/>
  <c r="M17" i="6" l="1"/>
  <c r="M37" i="6" l="1"/>
  <c r="M29" i="6"/>
  <c r="M36" i="6" s="1"/>
  <c r="M38" i="6" l="1"/>
  <c r="M21" i="7"/>
  <c r="M35" i="7" s="1"/>
  <c r="M37" i="7" s="1"/>
  <c r="N14" i="7" s="1"/>
  <c r="N15" i="6" l="1"/>
  <c r="N17" i="6" l="1"/>
  <c r="N37" i="6" l="1"/>
  <c r="N29" i="6"/>
  <c r="N36" i="6" s="1"/>
  <c r="N38" i="6" l="1"/>
  <c r="N21" i="7"/>
  <c r="N35" i="7" s="1"/>
  <c r="N37" i="7" s="1"/>
  <c r="O14" i="7" s="1"/>
  <c r="O15" i="6" l="1"/>
  <c r="O17" i="6" s="1"/>
  <c r="P20" i="7"/>
  <c r="P15" i="6" l="1"/>
  <c r="P17" i="6" s="1"/>
  <c r="D14" i="8" l="1"/>
  <c r="D16" i="8" s="1"/>
  <c r="D17" i="8" s="1"/>
  <c r="P29" i="6"/>
  <c r="P36" i="6" s="1"/>
  <c r="O37" i="6"/>
  <c r="O29" i="6"/>
  <c r="O36" i="6" s="1"/>
  <c r="O38" i="6" l="1"/>
  <c r="O21" i="7"/>
  <c r="O35" i="7" s="1"/>
  <c r="O37" i="7" s="1"/>
  <c r="P16" i="7"/>
  <c r="P21" i="7" s="1"/>
  <c r="P35" i="7" s="1"/>
  <c r="Q20" i="7"/>
  <c r="P37" i="6"/>
  <c r="P38" i="6" s="1"/>
  <c r="Q15" i="6" l="1"/>
  <c r="Q17" i="6" s="1"/>
  <c r="D18" i="8"/>
  <c r="P37" i="7"/>
  <c r="E14" i="8" l="1"/>
  <c r="E16" i="8" s="1"/>
  <c r="E17" i="8" s="1"/>
  <c r="Q37" i="6"/>
  <c r="Q21" i="7"/>
  <c r="Q29" i="6"/>
  <c r="Q36" i="6" s="1"/>
  <c r="D23" i="8"/>
  <c r="Q14" i="7"/>
  <c r="D27" i="8"/>
  <c r="D20" i="8"/>
  <c r="Q38" i="6" l="1"/>
  <c r="R32" i="7"/>
  <c r="R34" i="7" s="1"/>
  <c r="R35" i="7" s="1"/>
  <c r="F18" i="8" s="1"/>
  <c r="Q32" i="7"/>
  <c r="Q34" i="7" s="1"/>
  <c r="Q35" i="7" s="1"/>
  <c r="E18" i="8" s="1"/>
  <c r="D29" i="8"/>
  <c r="E20" i="8" l="1"/>
  <c r="E27" i="8"/>
  <c r="E29" i="8" s="1"/>
  <c r="M27" i="8"/>
  <c r="J27" i="8"/>
  <c r="I27" i="8"/>
  <c r="K27" i="8"/>
  <c r="H27" i="8"/>
  <c r="F20" i="8"/>
  <c r="F27" i="8"/>
  <c r="L27" i="8"/>
  <c r="G27" i="8"/>
  <c r="Q37" i="7"/>
  <c r="D30" i="8"/>
  <c r="F29" i="8" l="1"/>
  <c r="G29" i="8" s="1"/>
  <c r="H29" i="8" s="1"/>
  <c r="I29" i="8" s="1"/>
  <c r="J29" i="8" s="1"/>
  <c r="K29" i="8" s="1"/>
  <c r="L29" i="8" s="1"/>
  <c r="M29" i="8" s="1"/>
  <c r="E23" i="8"/>
  <c r="R14" i="7"/>
  <c r="R37" i="7" s="1"/>
  <c r="F23" i="8" s="1"/>
  <c r="D28" i="8"/>
  <c r="D21" i="8" s="1"/>
  <c r="D31" i="8"/>
  <c r="D32" i="8" s="1"/>
  <c r="E30" i="8"/>
  <c r="E31" i="8" s="1"/>
  <c r="E32" i="8" l="1"/>
  <c r="F30" i="8"/>
  <c r="G30" i="8" s="1"/>
  <c r="G31" i="8" l="1"/>
  <c r="G32" i="8" s="1"/>
  <c r="H30" i="8"/>
  <c r="F32" i="8"/>
  <c r="F31" i="8"/>
  <c r="I30" i="8" l="1"/>
  <c r="H31" i="8"/>
  <c r="H32" i="8" s="1"/>
  <c r="I31" i="8" l="1"/>
  <c r="I32" i="8" s="1"/>
  <c r="J30" i="8"/>
  <c r="K30" i="8" s="1"/>
  <c r="L30" i="8" l="1"/>
  <c r="M30" i="8" s="1"/>
  <c r="K32" i="8"/>
  <c r="K31" i="8"/>
  <c r="J32" i="8"/>
  <c r="J31" i="8"/>
  <c r="M31" i="8" l="1"/>
  <c r="M32" i="8"/>
  <c r="L32" i="8"/>
  <c r="L31" i="8"/>
  <c r="D22" i="8" l="1"/>
</calcChain>
</file>

<file path=xl/sharedStrings.xml><?xml version="1.0" encoding="utf-8"?>
<sst xmlns="http://schemas.openxmlformats.org/spreadsheetml/2006/main" count="621" uniqueCount="285">
  <si>
    <t>U.M. (buc;mp;kg;etc.)</t>
  </si>
  <si>
    <t>Preț unitar (fără TVA)</t>
  </si>
  <si>
    <t>Date de vânzări</t>
  </si>
  <si>
    <t>Cheltuieli variabile pe unitate de produs/serviciu</t>
  </si>
  <si>
    <t>TOTAL ch. variabile/U.P.</t>
  </si>
  <si>
    <t>Marjă/acoperire unitară</t>
  </si>
  <si>
    <r>
      <t xml:space="preserve">Produse </t>
    </r>
    <r>
      <rPr>
        <b/>
        <sz val="11"/>
        <color theme="1"/>
        <rFont val="Calibri"/>
        <family val="2"/>
      </rPr>
      <t>│ Servicii</t>
    </r>
  </si>
  <si>
    <t>Categoria</t>
  </si>
  <si>
    <t>Pret</t>
  </si>
  <si>
    <t>U.M.</t>
  </si>
  <si>
    <t>Anul I.</t>
  </si>
  <si>
    <t>Total An I.</t>
  </si>
  <si>
    <t>Total An II.</t>
  </si>
  <si>
    <t>Total An III.</t>
  </si>
  <si>
    <t>Vânzări fizice previzionate</t>
  </si>
  <si>
    <t>Vânzări valorice previzionate</t>
  </si>
  <si>
    <t>lei</t>
  </si>
  <si>
    <t>Venituri producție proprie – total</t>
  </si>
  <si>
    <t>Alte venituri</t>
  </si>
  <si>
    <t>Total venituri din exploatare</t>
  </si>
  <si>
    <t>Ch. variabile previzionate (Produse │ Servicii)</t>
  </si>
  <si>
    <t>Ch.V. unitar</t>
  </si>
  <si>
    <t>Ch. variabile – total</t>
  </si>
  <si>
    <t>-</t>
  </si>
  <si>
    <t>Funcție</t>
  </si>
  <si>
    <t>Salariul net/lună</t>
  </si>
  <si>
    <t>Net/Brut</t>
  </si>
  <si>
    <t>Funcție 1.</t>
  </si>
  <si>
    <t>Funcție 2.</t>
  </si>
  <si>
    <t>Funcție 3.</t>
  </si>
  <si>
    <t>Funcție 4.</t>
  </si>
  <si>
    <t>Funcție 5.</t>
  </si>
  <si>
    <t>Ch. personale previzionate</t>
  </si>
  <si>
    <t>Net</t>
  </si>
  <si>
    <t>Brut</t>
  </si>
  <si>
    <t>Rata de creștere a salariilor</t>
  </si>
  <si>
    <t>Cheltuieli personale net</t>
  </si>
  <si>
    <t>Cheltuieli cu asigurarile si protectia sociala</t>
  </si>
  <si>
    <t>Cheltuieli personale - total</t>
  </si>
  <si>
    <t>Cheltuieli fixe previzionate</t>
  </si>
  <si>
    <t>Cheltuieli cu materiile prime si cu materialele consumabile</t>
  </si>
  <si>
    <t>Alte cheltuieli materiale</t>
  </si>
  <si>
    <t>Cheltuieli legate de sediu</t>
  </si>
  <si>
    <t xml:space="preserve">   Cheltuieli cu energia si apa</t>
  </si>
  <si>
    <t xml:space="preserve">   Chirie</t>
  </si>
  <si>
    <t>Cheltuieli de marketing</t>
  </si>
  <si>
    <t>Cheltuieli privind prestățiile externe</t>
  </si>
  <si>
    <t xml:space="preserve">   Cheltuieli ICT</t>
  </si>
  <si>
    <t xml:space="preserve">   Cheltuieli de contablilitate</t>
  </si>
  <si>
    <t xml:space="preserve">   Alte ch. privind prestățiile externe</t>
  </si>
  <si>
    <t>Cheltuieli cu amortizăriile</t>
  </si>
  <si>
    <t>Alte cheltuieli de exploatare</t>
  </si>
  <si>
    <t xml:space="preserve">   ...</t>
  </si>
  <si>
    <t xml:space="preserve">   Cheltuieli neprevăzute (5%)</t>
  </si>
  <si>
    <t>Cheltuieli fixe – total</t>
  </si>
  <si>
    <t>Cheltuieli de exploatare fixe – total</t>
  </si>
  <si>
    <t xml:space="preserve">   Cheltuieli bancare</t>
  </si>
  <si>
    <t>Cheltuieli privind dobânziile</t>
  </si>
  <si>
    <t>Venituri din exploatare</t>
  </si>
  <si>
    <t>Cifra de afaceri</t>
  </si>
  <si>
    <t>Venituri din exploatare - total</t>
  </si>
  <si>
    <t>Cheltuieli din exploatare</t>
  </si>
  <si>
    <t>Cheltuieli variabile</t>
  </si>
  <si>
    <t>Cheltuieli din exploatare - total</t>
  </si>
  <si>
    <t>REZULTATUL din exploatare - total</t>
  </si>
  <si>
    <t>Venituri finaciare</t>
  </si>
  <si>
    <t>Cheltuieli bancare</t>
  </si>
  <si>
    <t>Rezultatul financiar</t>
  </si>
  <si>
    <t>REZULTATUL financiar - total</t>
  </si>
  <si>
    <t>REZULTATUL BRUT</t>
  </si>
  <si>
    <t>REZULTAT</t>
  </si>
  <si>
    <t>Impozit pe venit</t>
  </si>
  <si>
    <t>REZULTATUL NET AL EXERCIȚIUL FINANCIAR</t>
  </si>
  <si>
    <t>Sold inițial</t>
  </si>
  <si>
    <t>Activitatea de exploatare</t>
  </si>
  <si>
    <t>Încasări din activitatea de exploatare</t>
  </si>
  <si>
    <t>Încasări din activitatea financiară</t>
  </si>
  <si>
    <t>Credite</t>
  </si>
  <si>
    <t>Aport la capitalul societății (împrumuturi de la acționari/asociați)</t>
  </si>
  <si>
    <t>Ajutor nerambursabil</t>
  </si>
  <si>
    <t>Total intrări de numerar</t>
  </si>
  <si>
    <t>Plăți de dobânzi</t>
  </si>
  <si>
    <t>Impozite</t>
  </si>
  <si>
    <t>Dividende</t>
  </si>
  <si>
    <t>Total plății de numerar</t>
  </si>
  <si>
    <t>FLUX DE NUMERAR</t>
  </si>
  <si>
    <t>Sold final</t>
  </si>
  <si>
    <t>Valoarea investiției</t>
  </si>
  <si>
    <t>Rezultatul din exploatare</t>
  </si>
  <si>
    <t>Rata rezultatului din exploatare</t>
  </si>
  <si>
    <t>%</t>
  </si>
  <si>
    <t>Flux de numerar</t>
  </si>
  <si>
    <t>Rata de actualizare</t>
  </si>
  <si>
    <t>Valoare actualizată</t>
  </si>
  <si>
    <t>Valoare actualizată netă</t>
  </si>
  <si>
    <t>Durata de recuperare a investiției</t>
  </si>
  <si>
    <t>Disponibil de numerar la sfârșitul perioadei</t>
  </si>
  <si>
    <t>Marjă</t>
  </si>
  <si>
    <t>Acoperire</t>
  </si>
  <si>
    <t>Acoperire totală</t>
  </si>
  <si>
    <t>Cheltuieli fixe</t>
  </si>
  <si>
    <t>REZULTATUL din exploatare</t>
  </si>
  <si>
    <t>Break-even - U.M. necesară, care trebuie vândută</t>
  </si>
  <si>
    <t>Structura vânzăriilor previzionate</t>
  </si>
  <si>
    <t>Nivel de siguranță</t>
  </si>
  <si>
    <t>Instrucțiuni de completare a bugetului</t>
  </si>
  <si>
    <t>Sheet</t>
  </si>
  <si>
    <t>Funcția</t>
  </si>
  <si>
    <t>Date</t>
  </si>
  <si>
    <t>Instrucțiune</t>
  </si>
  <si>
    <t>Centralizator</t>
  </si>
  <si>
    <t xml:space="preserve">Centralizează datele bugetare. </t>
  </si>
  <si>
    <t>Se completează numai datele de identificare.</t>
  </si>
  <si>
    <t>Buget</t>
  </si>
  <si>
    <t>Bugetul detaliat al planului de afaceri.</t>
  </si>
  <si>
    <t>Coloana A, Nr.</t>
  </si>
  <si>
    <t>Se completează de la 1 până la finalul tabelului.</t>
  </si>
  <si>
    <t>Coloana B, Categoria de cheltuieli</t>
  </si>
  <si>
    <t>Se va alege din listă.</t>
  </si>
  <si>
    <t>Coloana C, Descrierea cheltuielilor</t>
  </si>
  <si>
    <t>Descrierea detaliată a produsului / serviciului achiziționat.</t>
  </si>
  <si>
    <t>Coloana D, U.M.</t>
  </si>
  <si>
    <t>Unitatea de măsură.</t>
  </si>
  <si>
    <t>Coloana E, Cantitate</t>
  </si>
  <si>
    <t>Se completează numai cu numere.</t>
  </si>
  <si>
    <t>Coloana F, Preț unitar fără TVA</t>
  </si>
  <si>
    <t>Se completează prețul unitar în lei, fără TVA.</t>
  </si>
  <si>
    <t>Coloana G, Procent valoare TVA</t>
  </si>
  <si>
    <t>Coloana K, Nerambursabil</t>
  </si>
  <si>
    <t>Suma solicitată cu TVA.</t>
  </si>
  <si>
    <t xml:space="preserve">Numele aplicantului: </t>
  </si>
  <si>
    <t>Adresa:</t>
  </si>
  <si>
    <t xml:space="preserve">Telefon: </t>
  </si>
  <si>
    <t xml:space="preserve">E-mail: </t>
  </si>
  <si>
    <t>Categoria de cheltuieli</t>
  </si>
  <si>
    <t>Valoare lei, 
fără TVA</t>
  </si>
  <si>
    <t>Valoare lei, 
TVA</t>
  </si>
  <si>
    <t>Nerambursabil</t>
  </si>
  <si>
    <t>Contribuția proprie</t>
  </si>
  <si>
    <t>1. Cheltuieli cu salariile personalului nou angajat</t>
  </si>
  <si>
    <t>1.1. Cheltuieli salariale</t>
  </si>
  <si>
    <t>1.2 Onorarii/ venituri asimilate salariilor pentru experți proprii/ cooptați</t>
  </si>
  <si>
    <t>1.3. Contribuţii sociale aferente cheltuielilor salariale şi cheltuielilor asimilate acestora (contribuţii angajaţi şi angajatori)</t>
  </si>
  <si>
    <t>2. Cheltuieli cu deplasarea personalului întreprinderilor sprijinite</t>
  </si>
  <si>
    <t>2.1 Cheltuieli pentru cazare</t>
  </si>
  <si>
    <t>2.2 Cheltuieli cu diurna personalului propriu</t>
  </si>
  <si>
    <t>2.3 Cheltuieli pentru transportul persoanelor</t>
  </si>
  <si>
    <t>2.4 Taxe şi asigurări de călătorie și asigurări medicale aferente deplasării</t>
  </si>
  <si>
    <t>3. Cheltuieli aferente diverselor achiziţii de servicii specializate, pentru care beneficiarul ajutorului de minimis nu are expertiza necesară</t>
  </si>
  <si>
    <t>4. Cheltuieli cu achiziția de active fixe corporale (altele decât terenuri și imobile), obiecte de inventar, materii prime și materiale, inclusiv materiale consumabile, alte cheltuieli pentru investiţii necesare funcţionării întreprinderilor</t>
  </si>
  <si>
    <t>4.1 Cheltuieli cu achiziția de active fixe corporale (altele decât terenuri și imobile), obiecte de inventar, alte cheltuieli pentru investiţii necesare funcţionării întreprinderilor</t>
  </si>
  <si>
    <t>4.2 Cheltuieli cu materii prime și materiale, inclusiv materiale consumabile (în limita de 10% din valoarea finanțării)</t>
  </si>
  <si>
    <t>5. Cheltuieli cu închirierea de sedii (inclusiv depozite), spații pentru desfășurarea diverselor activități ale întreprinderii, echipamente, vehicule, diverse bunuri</t>
  </si>
  <si>
    <t>6. Cheltuieli de leasing fără achiziție (leasing operațional) aferente funcţionării întreprinderilor (rate de leasing operațional plătite de întreprindere pentru: echipamente, vehicule, diverse bunuri mobile și imobile)</t>
  </si>
  <si>
    <t>7. Utilităţi aferente funcţionării întreprinderilor</t>
  </si>
  <si>
    <t>8. Servicii de administrare a clădirilor aferente funcţionării întreprinderilor</t>
  </si>
  <si>
    <t>9. Servicii de întreţinere şi reparare de echipamente şi mijloace de transport aferente funcţionării întreprinderilor</t>
  </si>
  <si>
    <t>10. Arhivare de documente aferente funcţionării întreprinderilor</t>
  </si>
  <si>
    <t>11. Amortizare de active aferente funcţionării întreprinderilor</t>
  </si>
  <si>
    <t>12. Cheltuieli financiare şi juridice (notariale) aferente funcţionării întreprinderilor</t>
  </si>
  <si>
    <t>13. Conectare la reţele informatice aferente funcţionării întreprinderilor</t>
  </si>
  <si>
    <t>14. Cheltuieli de informare şi publicitate aferente funcţionării întreprinderilor</t>
  </si>
  <si>
    <t>15. Alte cheltuieli aferente funcţionării întreprinderilor</t>
  </si>
  <si>
    <t>15.1. Prelucrare de date</t>
  </si>
  <si>
    <t>15.2. Întreţinere, actualizare şi dezvoltare de aplicaţii informatice</t>
  </si>
  <si>
    <t>15.3. Achiziţionare de publicaţii, cărţi, reviste de specialitate relevante pentru operaţiune, în format tipărit şi/sau electronic</t>
  </si>
  <si>
    <t>15.4. Concesiuni, brevete, licenţe, mărci comerciale, drepturi şi active similare</t>
  </si>
  <si>
    <t>TOTAL</t>
  </si>
  <si>
    <t>1. Personal</t>
  </si>
  <si>
    <t>2. Deplasări</t>
  </si>
  <si>
    <t>4. FEDR</t>
  </si>
  <si>
    <t>5. Servicii</t>
  </si>
  <si>
    <t>6. Directe</t>
  </si>
  <si>
    <t>7. Indirecte</t>
  </si>
  <si>
    <t>Restricții</t>
  </si>
  <si>
    <t>Procent actual</t>
  </si>
  <si>
    <t>Materii prime neperisabile și materiale consumabile (max. 10%)</t>
  </si>
  <si>
    <t>Valoarea maximă nerambursabilă</t>
  </si>
  <si>
    <t>Valoarea prefinanțării în lei</t>
  </si>
  <si>
    <t>Valoarea prefinanțării în procent</t>
  </si>
  <si>
    <t>Veniturile estimate până la solicitarea transei II. /prefinanțarea (min. 30%)</t>
  </si>
  <si>
    <t>Nr.</t>
  </si>
  <si>
    <t>Descrierea cheltuielilor</t>
  </si>
  <si>
    <t>Cantitate</t>
  </si>
  <si>
    <t>Preț unitar fără TVA</t>
  </si>
  <si>
    <t>Procent valoare TVA</t>
  </si>
  <si>
    <t>Valoare lei, 
cu TVA</t>
  </si>
  <si>
    <t>Nerambur-sabil</t>
  </si>
  <si>
    <t>Categorie</t>
  </si>
  <si>
    <t>Criterii și subcriterii de evaluare</t>
  </si>
  <si>
    <t>Scală punctaj</t>
  </si>
  <si>
    <r>
      <t>Indicatorul rentabilitatea afacerii este</t>
    </r>
    <r>
      <rPr>
        <sz val="11"/>
        <color theme="1"/>
        <rFont val="Calibri"/>
        <family val="2"/>
        <scheme val="minor"/>
      </rPr>
      <t xml:space="preserve"> peste 5%</t>
    </r>
  </si>
  <si>
    <t>Indicatorul rentabilitatea afacerii este între 2% - 5%</t>
  </si>
  <si>
    <t>Indicatorul rentabilitatea afacerii este între 0 - 2%</t>
  </si>
  <si>
    <t>Indicatorul rentabilitatea afacerii este sub 0</t>
  </si>
  <si>
    <t>Se completează cu unitatea de măsură a produsului / serviciului.</t>
  </si>
  <si>
    <t>Se completează cu costul variabil unitar în lei a produsului / serviciului.</t>
  </si>
  <si>
    <t>Prognoza veniturilor pentru 3 ani</t>
  </si>
  <si>
    <t>Prognoza cheltuielilor personale pentru 3 ani</t>
  </si>
  <si>
    <t>Se completează cu funcțiile necesare pentru funcționarea întreprinderii.</t>
  </si>
  <si>
    <t>Se completează cu rata de creștere a salariilor în anul 2 și 3.</t>
  </si>
  <si>
    <t>Prognoza cheltuielilor fixe pentru 3 ani</t>
  </si>
  <si>
    <t>Coloana P-R - Rata de creștere a cheltuielilor fixe</t>
  </si>
  <si>
    <t>Se completează cu rata de creștere a cheltuielilor fixe în anul 2 și 3.</t>
  </si>
  <si>
    <t>CPP</t>
  </si>
  <si>
    <t>Contul de profit și pierdere</t>
  </si>
  <si>
    <t>Se completează cu veniturile financiare estimate pentru 3 ani.</t>
  </si>
  <si>
    <t>CF</t>
  </si>
  <si>
    <t>Cashflow</t>
  </si>
  <si>
    <t>Se completează cu valoarea ajutoarelor nerambursabile.</t>
  </si>
  <si>
    <t>Se completează cu valoarea dividendelor luate.</t>
  </si>
  <si>
    <t>Indicatori</t>
  </si>
  <si>
    <t>Indicatoarele de performanță</t>
  </si>
  <si>
    <t>Dacă întreprinderea va fi plătitor de TVA, se completează cu valoarea totală a investiției fără TVA.</t>
  </si>
  <si>
    <r>
      <t xml:space="preserve">Se completează cu numele produselor / </t>
    </r>
    <r>
      <rPr>
        <sz val="11"/>
        <color theme="1"/>
        <rFont val="Calibri"/>
        <family val="2"/>
      </rPr>
      <t>serviciilor.</t>
    </r>
  </si>
  <si>
    <t>Se completează cu prețul unitar în lei (fără TVA) a produslului / serviciului.</t>
  </si>
  <si>
    <t>Datele detaliate a produselor sau serviciilor</t>
  </si>
  <si>
    <t>Se completează cu cantitățile vândute estimate a produselor/serviciilor pentru 3 ani.</t>
  </si>
  <si>
    <t>Se completează cu valoarea estimată a altor venituri, dacă firma va avea alte venituri semnificative.</t>
  </si>
  <si>
    <t>Se completează cu numărul de persoane, câți vor lucra în funcția aceea.</t>
  </si>
  <si>
    <t>Se completează cu salariul net lunar, pe care va primi angajatul în funcția aceea.</t>
  </si>
  <si>
    <t>Se completează cu cheltuielile fixe în lei a întreprinderii.</t>
  </si>
  <si>
    <t>Se completează cu schimbările valorii creditelor (valoare pozitivă dacă veți lua un credit, valoare negativă dacă veți rambursa creditul)</t>
  </si>
  <si>
    <t>Se completează cu schimbările valorii împrumuturilor de la asociați (valoare pozitivă dacă puneți bani în întreprindere, valoare negativă dacă retrageți/rambursați bani din întreprindere)</t>
  </si>
  <si>
    <t>Rândul 6-9</t>
  </si>
  <si>
    <t>Rândul 11 - Produse │ Servicii</t>
  </si>
  <si>
    <t>Rândul 13 - U.M. (buc;mp;kg;etc.)</t>
  </si>
  <si>
    <t>Rândul 14 - Preț unitar (fără TVA)</t>
  </si>
  <si>
    <t>Rândul 14-35 - Lista cheltuielilor fixe</t>
  </si>
  <si>
    <t>Rândul 30 - Venituri financiare</t>
  </si>
  <si>
    <t>Rândul 18 - Credite</t>
  </si>
  <si>
    <t>Rândul 19 - Aport la capitalul societății</t>
  </si>
  <si>
    <t>Rândul 20 - Ajutor nerambursabil</t>
  </si>
  <si>
    <t>Rândul 13 - Valoarea investiției</t>
  </si>
  <si>
    <t>Achizitii de active fixe, investitii</t>
  </si>
  <si>
    <t>Rândul 33 - Dividende</t>
  </si>
  <si>
    <t>Rândul 22 - Achiziții de active fixe</t>
  </si>
  <si>
    <t>Se completează cu valoarea achizițiilor de active fixe.</t>
  </si>
  <si>
    <t>Luna I.</t>
  </si>
  <si>
    <t>Luna II.</t>
  </si>
  <si>
    <t>Luna III.</t>
  </si>
  <si>
    <t>Luna IV.</t>
  </si>
  <si>
    <t>Luna V.</t>
  </si>
  <si>
    <t>Luna VI.</t>
  </si>
  <si>
    <t>Luna VII.</t>
  </si>
  <si>
    <t>Luna VIII.</t>
  </si>
  <si>
    <t>Luna IX.</t>
  </si>
  <si>
    <t>Luna X.</t>
  </si>
  <si>
    <t>Luna XI.</t>
  </si>
  <si>
    <t>Luna XII.</t>
  </si>
  <si>
    <t>IMOBILIZĂRI CORPORALE</t>
  </si>
  <si>
    <t>Denumire imobilizare (valoare peste 2.500 lei)</t>
  </si>
  <si>
    <t>Valoare totală</t>
  </si>
  <si>
    <t>Durata normală de utilizare</t>
  </si>
  <si>
    <t>Luna intrări imob.</t>
  </si>
  <si>
    <t>Tabel amortizări</t>
  </si>
  <si>
    <t>Cheltuieli cu amortizarea – total</t>
  </si>
  <si>
    <t>Prog. Veniturilor</t>
  </si>
  <si>
    <t>Rândul 16 - TOTAL ch. variabile/U.P.</t>
  </si>
  <si>
    <t>Rândul 23-31</t>
  </si>
  <si>
    <t>Rândul 43 - Alte venituri</t>
  </si>
  <si>
    <t>Prog. ch. Fixe</t>
  </si>
  <si>
    <t>Coloana B42-B51 - Funcție</t>
  </si>
  <si>
    <t>Coloana D42-D51 - Nr. de persoane</t>
  </si>
  <si>
    <t>Coloana C42-C51 - Salariul net/lună</t>
  </si>
  <si>
    <t>Rândul S38-T38 - Rata de creștere a salariilor</t>
  </si>
  <si>
    <t>Prod.│Serv. 1.</t>
  </si>
  <si>
    <t>Prod.│Serv. 2.</t>
  </si>
  <si>
    <t>Prod.│Serv. 3.</t>
  </si>
  <si>
    <t>Prod.│Serv. 4.</t>
  </si>
  <si>
    <t>Prod.│Serv. 5.</t>
  </si>
  <si>
    <t>Prod.│Serv. 6.</t>
  </si>
  <si>
    <t>Prod.│Serv. 7.</t>
  </si>
  <si>
    <t>Prod.│Serv. 8.</t>
  </si>
  <si>
    <t>Prod.│Serv. 9.</t>
  </si>
  <si>
    <t>se completează pe pagina Centralizator</t>
  </si>
  <si>
    <t>Obiecte de inventar</t>
  </si>
  <si>
    <t>Venituri din subvenții</t>
  </si>
  <si>
    <t>Normă de muncă</t>
  </si>
  <si>
    <t>ani</t>
  </si>
  <si>
    <t>buc.</t>
  </si>
  <si>
    <t>Gépek</t>
  </si>
  <si>
    <t>buc</t>
  </si>
  <si>
    <t>Numărul salariaților</t>
  </si>
  <si>
    <t>exemplu….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</si>
</sst>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ck">
        <color rgb="FFFF0000"/>
      </left>
      <right style="thin">
        <color theme="9" tint="-0.499984740745262"/>
      </right>
      <top style="thick">
        <color rgb="FFFF0000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ck">
        <color rgb="FFFF0000"/>
      </top>
      <bottom style="thin">
        <color theme="9" tint="-0.499984740745262"/>
      </bottom>
      <diagonal/>
    </border>
    <border>
      <left style="thin">
        <color theme="9" tint="-0.499984740745262"/>
      </left>
      <right style="thick">
        <color rgb="FFFF0000"/>
      </right>
      <top style="thick">
        <color rgb="FFFF0000"/>
      </top>
      <bottom style="thin">
        <color theme="9" tint="-0.499984740745262"/>
      </bottom>
      <diagonal/>
    </border>
    <border>
      <left style="thick">
        <color rgb="FFFF0000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ck">
        <color rgb="FFFF0000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rgb="FFFF0000"/>
      </left>
      <right/>
      <top style="thick">
        <color rgb="FFFF0000"/>
      </top>
      <bottom style="thin">
        <color theme="9" tint="-0.499984740745262"/>
      </bottom>
      <diagonal/>
    </border>
    <border>
      <left/>
      <right/>
      <top style="thick">
        <color rgb="FFFF0000"/>
      </top>
      <bottom style="thin">
        <color theme="9" tint="-0.499984740745262"/>
      </bottom>
      <diagonal/>
    </border>
    <border>
      <left/>
      <right style="thick">
        <color rgb="FFFF0000"/>
      </right>
      <top style="thick">
        <color rgb="FFFF0000"/>
      </top>
      <bottom style="thin">
        <color theme="9" tint="-0.499984740745262"/>
      </bottom>
      <diagonal/>
    </border>
    <border>
      <left style="thick">
        <color rgb="FFFF0000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rgb="FFFF0000"/>
      </right>
      <top style="thin">
        <color theme="9" tint="-0.499984740745262"/>
      </top>
      <bottom style="thin">
        <color theme="9" tint="-0.499984740745262"/>
      </bottom>
      <diagonal/>
    </border>
    <border>
      <left style="thick">
        <color rgb="FFFF0000"/>
      </left>
      <right/>
      <top style="thin">
        <color theme="9" tint="-0.499984740745262"/>
      </top>
      <bottom style="thick">
        <color rgb="FFFF0000"/>
      </bottom>
      <diagonal/>
    </border>
    <border>
      <left/>
      <right/>
      <top style="thin">
        <color theme="9" tint="-0.499984740745262"/>
      </top>
      <bottom style="thick">
        <color rgb="FFFF0000"/>
      </bottom>
      <diagonal/>
    </border>
    <border>
      <left/>
      <right style="thick">
        <color rgb="FFFF0000"/>
      </right>
      <top style="thin">
        <color theme="9" tint="-0.499984740745262"/>
      </top>
      <bottom style="thick">
        <color rgb="FFFF0000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5">
    <xf numFmtId="0" fontId="0" fillId="0" borderId="0" xfId="0"/>
    <xf numFmtId="0" fontId="2" fillId="3" borderId="1" xfId="0" applyFont="1" applyFill="1" applyBorder="1"/>
    <xf numFmtId="0" fontId="0" fillId="3" borderId="1" xfId="0" applyFill="1" applyBorder="1"/>
    <xf numFmtId="4" fontId="2" fillId="3" borderId="1" xfId="0" applyNumberFormat="1" applyFont="1" applyFill="1" applyBorder="1"/>
    <xf numFmtId="4" fontId="0" fillId="3" borderId="1" xfId="0" applyNumberFormat="1" applyFill="1" applyBorder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" fontId="2" fillId="6" borderId="1" xfId="0" applyNumberFormat="1" applyFont="1" applyFill="1" applyBorder="1"/>
    <xf numFmtId="4" fontId="0" fillId="3" borderId="1" xfId="0" applyNumberFormat="1" applyFill="1" applyBorder="1" applyAlignment="1">
      <alignment horizontal="center"/>
    </xf>
    <xf numFmtId="9" fontId="0" fillId="3" borderId="1" xfId="1" applyFont="1" applyFill="1" applyBorder="1"/>
    <xf numFmtId="0" fontId="0" fillId="0" borderId="0" xfId="0" applyAlignment="1" applyProtection="1">
      <alignment vertical="center" wrapText="1"/>
    </xf>
    <xf numFmtId="0" fontId="2" fillId="7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4" fontId="0" fillId="0" borderId="8" xfId="0" applyNumberFormat="1" applyBorder="1" applyAlignment="1" applyProtection="1">
      <alignment vertical="center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 wrapText="1"/>
    </xf>
    <xf numFmtId="0" fontId="0" fillId="8" borderId="8" xfId="0" applyFill="1" applyBorder="1" applyAlignment="1" applyProtection="1">
      <alignment vertical="center" wrapText="1"/>
    </xf>
    <xf numFmtId="4" fontId="0" fillId="8" borderId="8" xfId="0" applyNumberFormat="1" applyFill="1" applyBorder="1" applyAlignment="1" applyProtection="1">
      <alignment vertical="center"/>
    </xf>
    <xf numFmtId="4" fontId="2" fillId="6" borderId="8" xfId="0" applyNumberFormat="1" applyFont="1" applyFill="1" applyBorder="1" applyAlignment="1" applyProtection="1">
      <alignment horizontal="center" vertical="center" wrapText="1"/>
    </xf>
    <xf numFmtId="0" fontId="0" fillId="8" borderId="8" xfId="0" applyFill="1" applyBorder="1" applyAlignment="1" applyProtection="1">
      <alignment vertical="center"/>
    </xf>
    <xf numFmtId="10" fontId="0" fillId="0" borderId="8" xfId="0" applyNumberFormat="1" applyBorder="1" applyAlignment="1" applyProtection="1">
      <alignment vertical="center"/>
    </xf>
    <xf numFmtId="0" fontId="0" fillId="0" borderId="9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10" fontId="0" fillId="0" borderId="1" xfId="0" applyNumberFormat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 wrapText="1"/>
    </xf>
    <xf numFmtId="4" fontId="2" fillId="9" borderId="8" xfId="0" applyNumberFormat="1" applyFont="1" applyFill="1" applyBorder="1" applyAlignment="1" applyProtection="1">
      <alignment horizontal="center" vertical="center" wrapText="1"/>
    </xf>
    <xf numFmtId="0" fontId="2" fillId="9" borderId="8" xfId="0" applyFont="1" applyFill="1" applyBorder="1" applyAlignment="1" applyProtection="1">
      <alignment horizontal="center" vertical="center" wrapText="1"/>
    </xf>
    <xf numFmtId="0" fontId="2" fillId="10" borderId="8" xfId="0" applyFont="1" applyFill="1" applyBorder="1" applyAlignment="1" applyProtection="1">
      <alignment horizontal="center" vertical="center" wrapText="1"/>
    </xf>
    <xf numFmtId="4" fontId="0" fillId="0" borderId="8" xfId="0" applyNumberFormat="1" applyBorder="1" applyAlignment="1" applyProtection="1">
      <alignment vertical="center" wrapText="1"/>
      <protection locked="0"/>
    </xf>
    <xf numFmtId="4" fontId="0" fillId="0" borderId="8" xfId="0" applyNumberFormat="1" applyBorder="1" applyAlignment="1" applyProtection="1">
      <alignment vertical="center" wrapText="1"/>
    </xf>
    <xf numFmtId="4" fontId="2" fillId="1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 wrapText="1"/>
    </xf>
    <xf numFmtId="0" fontId="2" fillId="6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6" borderId="4" xfId="0" applyFont="1" applyFill="1" applyBorder="1"/>
    <xf numFmtId="0" fontId="0" fillId="3" borderId="4" xfId="0" applyFill="1" applyBorder="1"/>
    <xf numFmtId="0" fontId="2" fillId="3" borderId="4" xfId="0" applyFont="1" applyFill="1" applyBorder="1"/>
    <xf numFmtId="9" fontId="2" fillId="3" borderId="1" xfId="1" applyFont="1" applyFill="1" applyBorder="1"/>
    <xf numFmtId="4" fontId="0" fillId="3" borderId="4" xfId="0" applyNumberFormat="1" applyFill="1" applyBorder="1" applyAlignment="1">
      <alignment horizontal="center"/>
    </xf>
    <xf numFmtId="4" fontId="2" fillId="3" borderId="5" xfId="0" applyNumberFormat="1" applyFont="1" applyFill="1" applyBorder="1"/>
    <xf numFmtId="0" fontId="0" fillId="3" borderId="4" xfId="0" applyFill="1" applyBorder="1" applyAlignment="1">
      <alignment horizontal="center"/>
    </xf>
    <xf numFmtId="4" fontId="2" fillId="6" borderId="2" xfId="0" applyNumberFormat="1" applyFont="1" applyFill="1" applyBorder="1"/>
    <xf numFmtId="4" fontId="2" fillId="6" borderId="3" xfId="0" applyNumberFormat="1" applyFont="1" applyFill="1" applyBorder="1"/>
    <xf numFmtId="4" fontId="2" fillId="8" borderId="1" xfId="0" applyNumberFormat="1" applyFont="1" applyFill="1" applyBorder="1" applyProtection="1">
      <protection hidden="1"/>
    </xf>
    <xf numFmtId="4" fontId="8" fillId="8" borderId="1" xfId="0" applyNumberFormat="1" applyFont="1" applyFill="1" applyBorder="1" applyProtection="1">
      <protection hidden="1"/>
    </xf>
    <xf numFmtId="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" fontId="2" fillId="6" borderId="1" xfId="0" applyNumberFormat="1" applyFont="1" applyFill="1" applyBorder="1" applyProtection="1">
      <protection hidden="1"/>
    </xf>
    <xf numFmtId="4" fontId="0" fillId="11" borderId="1" xfId="0" applyNumberFormat="1" applyFill="1" applyBorder="1" applyProtection="1">
      <protection locked="0"/>
    </xf>
    <xf numFmtId="49" fontId="0" fillId="11" borderId="1" xfId="0" applyNumberFormat="1" applyFont="1" applyFill="1" applyBorder="1" applyAlignment="1" applyProtection="1">
      <alignment horizontal="center"/>
      <protection locked="0"/>
    </xf>
    <xf numFmtId="4" fontId="0" fillId="8" borderId="6" xfId="0" applyNumberFormat="1" applyFill="1" applyBorder="1" applyProtection="1">
      <protection hidden="1"/>
    </xf>
    <xf numFmtId="0" fontId="0" fillId="11" borderId="19" xfId="0" applyFont="1" applyFill="1" applyBorder="1" applyProtection="1">
      <protection locked="0"/>
    </xf>
    <xf numFmtId="4" fontId="0" fillId="11" borderId="20" xfId="0" applyNumberFormat="1" applyFill="1" applyBorder="1" applyProtection="1">
      <protection locked="0"/>
    </xf>
    <xf numFmtId="49" fontId="0" fillId="11" borderId="20" xfId="0" applyNumberFormat="1" applyFont="1" applyFill="1" applyBorder="1" applyAlignment="1" applyProtection="1">
      <alignment horizontal="center"/>
      <protection locked="0"/>
    </xf>
    <xf numFmtId="3" fontId="0" fillId="11" borderId="21" xfId="0" applyNumberFormat="1" applyFont="1" applyFill="1" applyBorder="1" applyAlignment="1" applyProtection="1">
      <alignment horizontal="center"/>
      <protection locked="0"/>
    </xf>
    <xf numFmtId="0" fontId="0" fillId="11" borderId="28" xfId="0" applyFont="1" applyFill="1" applyBorder="1" applyProtection="1">
      <protection locked="0"/>
    </xf>
    <xf numFmtId="3" fontId="0" fillId="11" borderId="29" xfId="0" applyNumberFormat="1" applyFont="1" applyFill="1" applyBorder="1" applyAlignment="1" applyProtection="1">
      <alignment horizontal="center"/>
      <protection locked="0"/>
    </xf>
    <xf numFmtId="0" fontId="0" fillId="4" borderId="28" xfId="0" applyFill="1" applyBorder="1" applyProtection="1">
      <protection locked="0"/>
    </xf>
    <xf numFmtId="3" fontId="0" fillId="4" borderId="29" xfId="0" applyNumberFormat="1" applyFill="1" applyBorder="1" applyAlignment="1" applyProtection="1">
      <alignment horizontal="center"/>
      <protection locked="0"/>
    </xf>
    <xf numFmtId="0" fontId="0" fillId="4" borderId="22" xfId="0" applyFill="1" applyBorder="1" applyProtection="1">
      <protection locked="0"/>
    </xf>
    <xf numFmtId="4" fontId="0" fillId="4" borderId="23" xfId="0" applyNumberFormat="1" applyFill="1" applyBorder="1" applyProtection="1">
      <protection locked="0"/>
    </xf>
    <xf numFmtId="49" fontId="0" fillId="4" borderId="23" xfId="0" applyNumberFormat="1" applyFill="1" applyBorder="1" applyAlignment="1" applyProtection="1">
      <alignment horizontal="center"/>
      <protection locked="0"/>
    </xf>
    <xf numFmtId="3" fontId="0" fillId="4" borderId="24" xfId="0" applyNumberFormat="1" applyFill="1" applyBorder="1" applyAlignment="1" applyProtection="1">
      <alignment horizontal="center"/>
      <protection locked="0"/>
    </xf>
    <xf numFmtId="3" fontId="0" fillId="11" borderId="19" xfId="0" applyNumberFormat="1" applyFill="1" applyBorder="1" applyAlignment="1" applyProtection="1">
      <alignment horizontal="center"/>
      <protection locked="0"/>
    </xf>
    <xf numFmtId="3" fontId="0" fillId="11" borderId="21" xfId="0" applyNumberFormat="1" applyFill="1" applyBorder="1" applyAlignment="1" applyProtection="1">
      <alignment horizontal="center"/>
      <protection locked="0"/>
    </xf>
    <xf numFmtId="3" fontId="0" fillId="11" borderId="28" xfId="0" applyNumberFormat="1" applyFill="1" applyBorder="1" applyAlignment="1" applyProtection="1">
      <alignment horizontal="center"/>
      <protection locked="0"/>
    </xf>
    <xf numFmtId="3" fontId="0" fillId="11" borderId="29" xfId="0" applyNumberFormat="1" applyFill="1" applyBorder="1" applyAlignment="1" applyProtection="1">
      <alignment horizontal="center"/>
      <protection locked="0"/>
    </xf>
    <xf numFmtId="3" fontId="0" fillId="4" borderId="28" xfId="0" applyNumberFormat="1" applyFill="1" applyBorder="1" applyAlignment="1" applyProtection="1">
      <alignment horizontal="center"/>
      <protection locked="0"/>
    </xf>
    <xf numFmtId="3" fontId="0" fillId="4" borderId="2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vertical="center" wrapText="1"/>
    </xf>
    <xf numFmtId="4" fontId="0" fillId="3" borderId="12" xfId="0" applyNumberFormat="1" applyFill="1" applyBorder="1" applyAlignment="1" applyProtection="1">
      <alignment vertical="center" wrapText="1"/>
    </xf>
    <xf numFmtId="0" fontId="2" fillId="9" borderId="9" xfId="0" applyFont="1" applyFill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4" fontId="0" fillId="0" borderId="41" xfId="0" applyNumberFormat="1" applyBorder="1" applyAlignment="1" applyProtection="1">
      <alignment vertical="center" wrapText="1"/>
      <protection locked="0"/>
    </xf>
    <xf numFmtId="10" fontId="0" fillId="0" borderId="42" xfId="0" applyNumberFormat="1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10" fontId="0" fillId="0" borderId="44" xfId="0" applyNumberFormat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 wrapText="1"/>
    </xf>
    <xf numFmtId="10" fontId="0" fillId="0" borderId="9" xfId="0" applyNumberFormat="1" applyBorder="1" applyAlignment="1" applyProtection="1">
      <alignment vertical="center"/>
    </xf>
    <xf numFmtId="10" fontId="0" fillId="0" borderId="53" xfId="0" applyNumberFormat="1" applyFill="1" applyBorder="1" applyAlignment="1" applyProtection="1">
      <alignment vertical="center"/>
    </xf>
    <xf numFmtId="2" fontId="0" fillId="5" borderId="27" xfId="0" applyNumberFormat="1" applyFill="1" applyBorder="1" applyAlignment="1" applyProtection="1">
      <alignment vertical="center"/>
      <protection locked="0"/>
    </xf>
    <xf numFmtId="4" fontId="0" fillId="3" borderId="10" xfId="0" applyNumberFormat="1" applyFill="1" applyBorder="1" applyAlignment="1" applyProtection="1">
      <alignment vertical="center" wrapText="1"/>
    </xf>
    <xf numFmtId="4" fontId="0" fillId="0" borderId="16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2" fillId="0" borderId="16" xfId="0" applyNumberFormat="1" applyFont="1" applyBorder="1" applyProtection="1">
      <protection locked="0"/>
    </xf>
    <xf numFmtId="4" fontId="2" fillId="0" borderId="18" xfId="0" applyNumberFormat="1" applyFont="1" applyBorder="1" applyProtection="1">
      <protection locked="0"/>
    </xf>
    <xf numFmtId="4" fontId="2" fillId="0" borderId="19" xfId="0" applyNumberFormat="1" applyFont="1" applyBorder="1" applyProtection="1">
      <protection locked="0"/>
    </xf>
    <xf numFmtId="4" fontId="2" fillId="0" borderId="21" xfId="0" applyNumberFormat="1" applyFont="1" applyBorder="1" applyProtection="1">
      <protection locked="0"/>
    </xf>
    <xf numFmtId="4" fontId="2" fillId="5" borderId="28" xfId="0" applyNumberFormat="1" applyFont="1" applyFill="1" applyBorder="1" applyProtection="1">
      <protection locked="0"/>
    </xf>
    <xf numFmtId="4" fontId="2" fillId="5" borderId="29" xfId="0" applyNumberFormat="1" applyFont="1" applyFill="1" applyBorder="1" applyProtection="1">
      <protection locked="0"/>
    </xf>
    <xf numFmtId="4" fontId="2" fillId="0" borderId="28" xfId="0" applyNumberFormat="1" applyFont="1" applyBorder="1" applyProtection="1">
      <protection locked="0"/>
    </xf>
    <xf numFmtId="4" fontId="2" fillId="0" borderId="29" xfId="0" applyNumberFormat="1" applyFont="1" applyBorder="1" applyProtection="1">
      <protection locked="0"/>
    </xf>
    <xf numFmtId="4" fontId="2" fillId="0" borderId="22" xfId="0" applyNumberFormat="1" applyFont="1" applyBorder="1" applyProtection="1">
      <protection locked="0"/>
    </xf>
    <xf numFmtId="4" fontId="2" fillId="0" borderId="24" xfId="0" applyNumberFormat="1" applyFont="1" applyBorder="1" applyProtection="1">
      <protection locked="0"/>
    </xf>
    <xf numFmtId="4" fontId="0" fillId="0" borderId="19" xfId="0" applyNumberFormat="1" applyBorder="1" applyProtection="1">
      <protection locked="0"/>
    </xf>
    <xf numFmtId="4" fontId="0" fillId="0" borderId="20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5" borderId="28" xfId="0" applyNumberForma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4" fontId="0" fillId="5" borderId="29" xfId="0" applyNumberFormat="1" applyFill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29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4" fontId="0" fillId="0" borderId="24" xfId="0" applyNumberFormat="1" applyBorder="1" applyProtection="1">
      <protection locked="0"/>
    </xf>
    <xf numFmtId="0" fontId="2" fillId="5" borderId="18" xfId="0" applyFon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4" fontId="2" fillId="5" borderId="2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9" fontId="0" fillId="0" borderId="0" xfId="1" applyFont="1" applyProtection="1"/>
    <xf numFmtId="0" fontId="2" fillId="6" borderId="1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4" xfId="0" applyFill="1" applyBorder="1" applyAlignment="1" applyProtection="1">
      <alignment horizontal="center"/>
    </xf>
    <xf numFmtId="4" fontId="2" fillId="3" borderId="5" xfId="0" applyNumberFormat="1" applyFont="1" applyFill="1" applyBorder="1" applyProtection="1"/>
    <xf numFmtId="4" fontId="2" fillId="3" borderId="6" xfId="0" applyNumberFormat="1" applyFont="1" applyFill="1" applyBorder="1" applyProtection="1"/>
    <xf numFmtId="0" fontId="0" fillId="3" borderId="1" xfId="0" applyFill="1" applyBorder="1" applyAlignment="1" applyProtection="1">
      <alignment horizontal="center"/>
    </xf>
    <xf numFmtId="4" fontId="0" fillId="3" borderId="7" xfId="0" applyNumberFormat="1" applyFill="1" applyBorder="1" applyProtection="1"/>
    <xf numFmtId="4" fontId="2" fillId="3" borderId="1" xfId="0" applyNumberFormat="1" applyFont="1" applyFill="1" applyBorder="1" applyProtection="1"/>
    <xf numFmtId="9" fontId="0" fillId="3" borderId="7" xfId="1" applyFont="1" applyFill="1" applyBorder="1" applyAlignment="1" applyProtection="1">
      <alignment horizontal="center"/>
    </xf>
    <xf numFmtId="4" fontId="0" fillId="3" borderId="3" xfId="0" applyNumberFormat="1" applyFill="1" applyBorder="1" applyProtection="1"/>
    <xf numFmtId="9" fontId="0" fillId="3" borderId="3" xfId="1" applyFont="1" applyFill="1" applyBorder="1" applyAlignment="1" applyProtection="1">
      <alignment horizontal="center"/>
    </xf>
    <xf numFmtId="4" fontId="0" fillId="3" borderId="1" xfId="0" applyNumberFormat="1" applyFill="1" applyBorder="1" applyProtection="1"/>
    <xf numFmtId="9" fontId="0" fillId="3" borderId="1" xfId="1" applyFont="1" applyFill="1" applyBorder="1" applyAlignment="1" applyProtection="1">
      <alignment horizontal="center"/>
    </xf>
    <xf numFmtId="4" fontId="0" fillId="3" borderId="2" xfId="0" applyNumberFormat="1" applyFill="1" applyBorder="1" applyProtection="1"/>
    <xf numFmtId="9" fontId="0" fillId="3" borderId="2" xfId="1" applyFont="1" applyFill="1" applyBorder="1" applyAlignment="1" applyProtection="1">
      <alignment horizontal="center"/>
    </xf>
    <xf numFmtId="0" fontId="0" fillId="3" borderId="2" xfId="0" applyFill="1" applyBorder="1" applyProtection="1"/>
    <xf numFmtId="0" fontId="0" fillId="3" borderId="5" xfId="0" applyFill="1" applyBorder="1" applyAlignment="1" applyProtection="1">
      <alignment horizontal="center"/>
    </xf>
    <xf numFmtId="0" fontId="0" fillId="3" borderId="3" xfId="0" applyFill="1" applyBorder="1" applyProtection="1"/>
    <xf numFmtId="9" fontId="0" fillId="0" borderId="0" xfId="0" applyNumberFormat="1" applyProtection="1"/>
    <xf numFmtId="0" fontId="2" fillId="6" borderId="1" xfId="0" applyFont="1" applyFill="1" applyBorder="1" applyAlignment="1" applyProtection="1">
      <alignment horizontal="left"/>
    </xf>
    <xf numFmtId="4" fontId="2" fillId="6" borderId="2" xfId="0" applyNumberFormat="1" applyFont="1" applyFill="1" applyBorder="1" applyProtection="1"/>
    <xf numFmtId="4" fontId="2" fillId="6" borderId="1" xfId="0" applyNumberFormat="1" applyFont="1" applyFill="1" applyBorder="1" applyProtection="1"/>
    <xf numFmtId="9" fontId="0" fillId="6" borderId="1" xfId="1" applyFont="1" applyFill="1" applyBorder="1" applyAlignment="1" applyProtection="1">
      <alignment horizontal="center"/>
    </xf>
    <xf numFmtId="0" fontId="0" fillId="3" borderId="7" xfId="0" applyFill="1" applyBorder="1" applyProtection="1"/>
    <xf numFmtId="9" fontId="0" fillId="4" borderId="4" xfId="1" applyFont="1" applyFill="1" applyBorder="1" applyAlignment="1" applyProtection="1">
      <alignment horizontal="center"/>
    </xf>
    <xf numFmtId="9" fontId="0" fillId="4" borderId="5" xfId="1" applyFont="1" applyFill="1" applyBorder="1" applyAlignment="1" applyProtection="1">
      <alignment horizontal="center"/>
    </xf>
    <xf numFmtId="4" fontId="2" fillId="6" borderId="3" xfId="0" applyNumberFormat="1" applyFont="1" applyFill="1" applyBorder="1" applyProtection="1"/>
    <xf numFmtId="0" fontId="0" fillId="3" borderId="6" xfId="0" applyFill="1" applyBorder="1" applyProtection="1"/>
    <xf numFmtId="0" fontId="2" fillId="6" borderId="1" xfId="0" applyFont="1" applyFill="1" applyBorder="1" applyProtection="1"/>
    <xf numFmtId="0" fontId="2" fillId="6" borderId="1" xfId="0" applyFont="1" applyFill="1" applyBorder="1" applyAlignment="1" applyProtection="1">
      <alignment horizontal="center" vertical="center"/>
    </xf>
    <xf numFmtId="3" fontId="0" fillId="8" borderId="5" xfId="0" applyNumberFormat="1" applyFill="1" applyBorder="1" applyAlignment="1" applyProtection="1">
      <alignment horizontal="center"/>
    </xf>
    <xf numFmtId="0" fontId="2" fillId="6" borderId="3" xfId="0" applyFont="1" applyFill="1" applyBorder="1" applyAlignment="1" applyProtection="1"/>
    <xf numFmtId="0" fontId="2" fillId="6" borderId="3" xfId="0" applyFont="1" applyFill="1" applyBorder="1" applyAlignment="1" applyProtection="1">
      <alignment horizontal="center"/>
    </xf>
    <xf numFmtId="3" fontId="2" fillId="6" borderId="3" xfId="0" applyNumberFormat="1" applyFont="1" applyFill="1" applyBorder="1" applyAlignment="1" applyProtection="1">
      <alignment horizontal="center"/>
    </xf>
    <xf numFmtId="3" fontId="2" fillId="6" borderId="1" xfId="0" applyNumberFormat="1" applyFont="1" applyFill="1" applyBorder="1" applyAlignment="1" applyProtection="1">
      <alignment horizontal="center"/>
    </xf>
    <xf numFmtId="4" fontId="0" fillId="4" borderId="19" xfId="0" applyNumberFormat="1" applyFill="1" applyBorder="1" applyProtection="1">
      <protection locked="0"/>
    </xf>
    <xf numFmtId="4" fontId="0" fillId="4" borderId="20" xfId="0" applyNumberFormat="1" applyFill="1" applyBorder="1" applyProtection="1">
      <protection locked="0"/>
    </xf>
    <xf numFmtId="4" fontId="0" fillId="4" borderId="21" xfId="0" applyNumberFormat="1" applyFill="1" applyBorder="1" applyProtection="1">
      <protection locked="0"/>
    </xf>
    <xf numFmtId="4" fontId="0" fillId="5" borderId="22" xfId="0" applyNumberFormat="1" applyFill="1" applyBorder="1" applyProtection="1">
      <protection locked="0"/>
    </xf>
    <xf numFmtId="4" fontId="0" fillId="5" borderId="23" xfId="0" applyNumberFormat="1" applyFill="1" applyBorder="1" applyProtection="1">
      <protection locked="0"/>
    </xf>
    <xf numFmtId="4" fontId="0" fillId="5" borderId="24" xfId="0" applyNumberFormat="1" applyFill="1" applyBorder="1" applyProtection="1">
      <protection locked="0"/>
    </xf>
    <xf numFmtId="4" fontId="0" fillId="4" borderId="16" xfId="0" applyNumberFormat="1" applyFill="1" applyBorder="1" applyProtection="1">
      <protection locked="0"/>
    </xf>
    <xf numFmtId="4" fontId="0" fillId="4" borderId="17" xfId="0" applyNumberFormat="1" applyFill="1" applyBorder="1" applyProtection="1">
      <protection locked="0"/>
    </xf>
    <xf numFmtId="4" fontId="0" fillId="4" borderId="18" xfId="0" applyNumberFormat="1" applyFill="1" applyBorder="1" applyProtection="1">
      <protection locked="0"/>
    </xf>
    <xf numFmtId="4" fontId="0" fillId="4" borderId="22" xfId="0" applyNumberFormat="1" applyFill="1" applyBorder="1" applyProtection="1">
      <protection locked="0"/>
    </xf>
    <xf numFmtId="4" fontId="0" fillId="4" borderId="24" xfId="0" applyNumberFormat="1" applyFill="1" applyBorder="1" applyProtection="1">
      <protection locked="0"/>
    </xf>
    <xf numFmtId="9" fontId="0" fillId="4" borderId="34" xfId="1" applyFont="1" applyFill="1" applyBorder="1" applyProtection="1">
      <protection locked="0"/>
    </xf>
    <xf numFmtId="9" fontId="0" fillId="5" borderId="36" xfId="1" applyFont="1" applyFill="1" applyBorder="1" applyProtection="1">
      <protection locked="0"/>
    </xf>
    <xf numFmtId="9" fontId="0" fillId="4" borderId="27" xfId="1" applyFont="1" applyFill="1" applyBorder="1" applyProtection="1">
      <protection locked="0"/>
    </xf>
    <xf numFmtId="9" fontId="0" fillId="5" borderId="35" xfId="1" applyFont="1" applyFill="1" applyBorder="1" applyProtection="1">
      <protection locked="0"/>
    </xf>
    <xf numFmtId="9" fontId="0" fillId="4" borderId="36" xfId="1" applyFont="1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36" xfId="0" applyFill="1" applyBorder="1" applyProtection="1">
      <protection locked="0"/>
    </xf>
    <xf numFmtId="4" fontId="2" fillId="4" borderId="27" xfId="0" applyNumberFormat="1" applyFont="1" applyFill="1" applyBorder="1" applyProtection="1">
      <protection locked="0"/>
    </xf>
    <xf numFmtId="9" fontId="0" fillId="5" borderId="16" xfId="0" applyNumberFormat="1" applyFill="1" applyBorder="1" applyProtection="1">
      <protection locked="0"/>
    </xf>
    <xf numFmtId="9" fontId="0" fillId="5" borderId="18" xfId="0" applyNumberFormat="1" applyFill="1" applyBorder="1" applyProtection="1">
      <protection locked="0"/>
    </xf>
    <xf numFmtId="4" fontId="2" fillId="3" borderId="3" xfId="0" applyNumberFormat="1" applyFont="1" applyFill="1" applyBorder="1" applyProtection="1"/>
    <xf numFmtId="0" fontId="0" fillId="0" borderId="0" xfId="0" applyAlignment="1" applyProtection="1">
      <alignment horizontal="center" vertical="center"/>
    </xf>
    <xf numFmtId="4" fontId="2" fillId="4" borderId="16" xfId="0" applyNumberFormat="1" applyFont="1" applyFill="1" applyBorder="1" applyProtection="1">
      <protection locked="0"/>
    </xf>
    <xf numFmtId="4" fontId="2" fillId="4" borderId="18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4" fontId="0" fillId="3" borderId="1" xfId="0" applyNumberForma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4" fontId="0" fillId="3" borderId="2" xfId="0" applyNumberFormat="1" applyFill="1" applyBorder="1" applyAlignment="1" applyProtection="1">
      <alignment vertical="center"/>
    </xf>
    <xf numFmtId="4" fontId="2" fillId="3" borderId="2" xfId="0" applyNumberFormat="1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4" fontId="2" fillId="3" borderId="5" xfId="0" applyNumberFormat="1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 wrapText="1"/>
    </xf>
    <xf numFmtId="4" fontId="0" fillId="3" borderId="3" xfId="0" applyNumberFormat="1" applyFill="1" applyBorder="1" applyAlignment="1" applyProtection="1">
      <alignment vertical="center"/>
    </xf>
    <xf numFmtId="4" fontId="2" fillId="3" borderId="3" xfId="0" applyNumberFormat="1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/>
    </xf>
    <xf numFmtId="4" fontId="2" fillId="6" borderId="2" xfId="0" applyNumberFormat="1" applyFont="1" applyFill="1" applyBorder="1" applyAlignment="1" applyProtection="1">
      <alignment vertical="center"/>
    </xf>
    <xf numFmtId="4" fontId="2" fillId="6" borderId="1" xfId="0" applyNumberFormat="1" applyFont="1" applyFill="1" applyBorder="1" applyAlignment="1" applyProtection="1">
      <alignment vertical="center"/>
    </xf>
    <xf numFmtId="4" fontId="2" fillId="6" borderId="3" xfId="0" applyNumberFormat="1" applyFont="1" applyFill="1" applyBorder="1" applyAlignment="1" applyProtection="1">
      <alignment vertical="center"/>
    </xf>
    <xf numFmtId="4" fontId="0" fillId="4" borderId="19" xfId="0" applyNumberFormat="1" applyFill="1" applyBorder="1" applyAlignment="1" applyProtection="1">
      <alignment vertical="center"/>
      <protection locked="0"/>
    </xf>
    <xf numFmtId="4" fontId="0" fillId="4" borderId="20" xfId="0" applyNumberFormat="1" applyFill="1" applyBorder="1" applyAlignment="1" applyProtection="1">
      <alignment vertical="center"/>
      <protection locked="0"/>
    </xf>
    <xf numFmtId="4" fontId="0" fillId="4" borderId="21" xfId="0" applyNumberFormat="1" applyFill="1" applyBorder="1" applyAlignment="1" applyProtection="1">
      <alignment vertical="center"/>
      <protection locked="0"/>
    </xf>
    <xf numFmtId="4" fontId="0" fillId="5" borderId="22" xfId="0" applyNumberFormat="1" applyFill="1" applyBorder="1" applyAlignment="1" applyProtection="1">
      <alignment vertical="center"/>
      <protection locked="0"/>
    </xf>
    <xf numFmtId="4" fontId="0" fillId="5" borderId="23" xfId="0" applyNumberFormat="1" applyFill="1" applyBorder="1" applyAlignment="1" applyProtection="1">
      <alignment vertical="center"/>
      <protection locked="0"/>
    </xf>
    <xf numFmtId="4" fontId="0" fillId="5" borderId="24" xfId="0" applyNumberForma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4" fontId="2" fillId="4" borderId="21" xfId="0" applyNumberFormat="1" applyFont="1" applyFill="1" applyBorder="1" applyAlignment="1" applyProtection="1">
      <alignment vertical="center"/>
      <protection locked="0"/>
    </xf>
    <xf numFmtId="4" fontId="2" fillId="5" borderId="22" xfId="0" applyNumberFormat="1" applyFont="1" applyFill="1" applyBorder="1" applyAlignment="1" applyProtection="1">
      <alignment vertical="center"/>
      <protection locked="0"/>
    </xf>
    <xf numFmtId="4" fontId="2" fillId="5" borderId="24" xfId="0" applyNumberFormat="1" applyFont="1" applyFill="1" applyBorder="1" applyAlignment="1" applyProtection="1">
      <alignment vertical="center"/>
      <protection locked="0"/>
    </xf>
    <xf numFmtId="4" fontId="2" fillId="4" borderId="16" xfId="0" applyNumberFormat="1" applyFont="1" applyFill="1" applyBorder="1" applyAlignment="1" applyProtection="1">
      <alignment vertical="center"/>
      <protection locked="0"/>
    </xf>
    <xf numFmtId="4" fontId="2" fillId="4" borderId="18" xfId="0" applyNumberFormat="1" applyFont="1" applyFill="1" applyBorder="1" applyAlignment="1" applyProtection="1">
      <alignment vertical="center"/>
      <protection locked="0"/>
    </xf>
    <xf numFmtId="4" fontId="0" fillId="4" borderId="16" xfId="0" applyNumberFormat="1" applyFill="1" applyBorder="1" applyAlignment="1" applyProtection="1">
      <alignment vertical="center"/>
      <protection locked="0"/>
    </xf>
    <xf numFmtId="4" fontId="0" fillId="4" borderId="17" xfId="0" applyNumberFormat="1" applyFill="1" applyBorder="1" applyAlignment="1" applyProtection="1">
      <alignment vertical="center"/>
      <protection locked="0"/>
    </xf>
    <xf numFmtId="4" fontId="0" fillId="4" borderId="18" xfId="0" applyNumberFormat="1" applyFill="1" applyBorder="1" applyAlignment="1" applyProtection="1">
      <alignment vertical="center"/>
      <protection locked="0"/>
    </xf>
    <xf numFmtId="4" fontId="0" fillId="3" borderId="1" xfId="0" applyNumberFormat="1" applyFont="1" applyFill="1" applyBorder="1" applyProtection="1"/>
    <xf numFmtId="9" fontId="0" fillId="3" borderId="1" xfId="1" applyFont="1" applyFill="1" applyBorder="1" applyProtection="1"/>
    <xf numFmtId="0" fontId="0" fillId="0" borderId="0" xfId="0" applyFont="1" applyProtection="1"/>
    <xf numFmtId="0" fontId="5" fillId="6" borderId="14" xfId="0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center"/>
    </xf>
    <xf numFmtId="0" fontId="0" fillId="6" borderId="1" xfId="0" applyFont="1" applyFill="1" applyBorder="1" applyAlignment="1" applyProtection="1">
      <alignment horizontal="center"/>
    </xf>
    <xf numFmtId="4" fontId="0" fillId="6" borderId="1" xfId="0" applyNumberFormat="1" applyFont="1" applyFill="1" applyBorder="1" applyProtection="1"/>
    <xf numFmtId="4" fontId="2" fillId="0" borderId="18" xfId="0" applyNumberFormat="1" applyFont="1" applyBorder="1" applyAlignment="1" applyProtection="1">
      <alignment horizontal="center"/>
      <protection locked="0"/>
    </xf>
    <xf numFmtId="9" fontId="0" fillId="5" borderId="27" xfId="1" applyFont="1" applyFill="1" applyBorder="1" applyProtection="1">
      <protection locked="0"/>
    </xf>
    <xf numFmtId="4" fontId="0" fillId="5" borderId="16" xfId="0" applyNumberFormat="1" applyFill="1" applyBorder="1" applyProtection="1">
      <protection locked="0"/>
    </xf>
    <xf numFmtId="4" fontId="0" fillId="5" borderId="17" xfId="0" applyNumberFormat="1" applyFill="1" applyBorder="1" applyProtection="1">
      <protection locked="0"/>
    </xf>
    <xf numFmtId="4" fontId="0" fillId="5" borderId="18" xfId="0" applyNumberFormat="1" applyFill="1" applyBorder="1" applyProtection="1">
      <protection locked="0"/>
    </xf>
    <xf numFmtId="0" fontId="2" fillId="6" borderId="57" xfId="0" applyFont="1" applyFill="1" applyBorder="1" applyAlignment="1" applyProtection="1">
      <alignment horizontal="center"/>
    </xf>
    <xf numFmtId="0" fontId="2" fillId="6" borderId="33" xfId="0" applyFont="1" applyFill="1" applyBorder="1" applyAlignment="1" applyProtection="1">
      <alignment horizontal="center"/>
    </xf>
    <xf numFmtId="9" fontId="0" fillId="4" borderId="59" xfId="0" applyNumberFormat="1" applyFont="1" applyFill="1" applyBorder="1" applyAlignment="1" applyProtection="1">
      <alignment horizontal="center"/>
      <protection locked="0"/>
    </xf>
    <xf numFmtId="9" fontId="0" fillId="4" borderId="60" xfId="0" applyNumberFormat="1" applyFont="1" applyFill="1" applyBorder="1" applyAlignment="1" applyProtection="1">
      <alignment horizontal="center"/>
      <protection locked="0"/>
    </xf>
    <xf numFmtId="9" fontId="0" fillId="4" borderId="61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vertical="center" wrapText="1"/>
    </xf>
    <xf numFmtId="4" fontId="2" fillId="10" borderId="10" xfId="0" applyNumberFormat="1" applyFont="1" applyFill="1" applyBorder="1" applyAlignment="1" applyProtection="1">
      <alignment horizontal="center" vertical="center" wrapText="1"/>
    </xf>
    <xf numFmtId="4" fontId="2" fillId="10" borderId="12" xfId="0" applyNumberFormat="1" applyFont="1" applyFill="1" applyBorder="1" applyAlignment="1" applyProtection="1">
      <alignment horizontal="center" vertical="center" wrapText="1"/>
    </xf>
    <xf numFmtId="4" fontId="0" fillId="3" borderId="1" xfId="0" applyNumberFormat="1" applyFill="1" applyBorder="1" applyAlignment="1" applyProtection="1">
      <alignment vertical="center" wrapText="1"/>
    </xf>
    <xf numFmtId="4" fontId="2" fillId="1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5" borderId="50" xfId="0" applyFill="1" applyBorder="1" applyAlignment="1" applyProtection="1">
      <alignment horizontal="left" vertical="center" wrapText="1"/>
      <protection locked="0"/>
    </xf>
    <xf numFmtId="0" fontId="0" fillId="5" borderId="51" xfId="0" applyFill="1" applyBorder="1" applyAlignment="1" applyProtection="1">
      <alignment horizontal="left" vertical="center" wrapText="1"/>
      <protection locked="0"/>
    </xf>
    <xf numFmtId="0" fontId="0" fillId="5" borderId="52" xfId="0" applyFill="1" applyBorder="1" applyAlignment="1" applyProtection="1">
      <alignment horizontal="left" vertical="center" wrapText="1"/>
      <protection locked="0"/>
    </xf>
    <xf numFmtId="0" fontId="0" fillId="5" borderId="48" xfId="0" applyFill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horizontal="left" vertical="center" wrapText="1"/>
      <protection locked="0"/>
    </xf>
    <xf numFmtId="0" fontId="0" fillId="5" borderId="49" xfId="0" applyFill="1" applyBorder="1" applyAlignment="1" applyProtection="1">
      <alignment horizontal="left" vertical="center" wrapText="1"/>
      <protection locked="0"/>
    </xf>
    <xf numFmtId="0" fontId="0" fillId="5" borderId="45" xfId="0" applyFill="1" applyBorder="1" applyAlignment="1" applyProtection="1">
      <alignment horizontal="left" vertical="center" wrapText="1"/>
      <protection locked="0"/>
    </xf>
    <xf numFmtId="0" fontId="0" fillId="5" borderId="46" xfId="0" applyFill="1" applyBorder="1" applyAlignment="1" applyProtection="1">
      <alignment horizontal="left" vertical="center" wrapText="1"/>
      <protection locked="0"/>
    </xf>
    <xf numFmtId="0" fontId="0" fillId="5" borderId="47" xfId="0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vertical="center" wrapText="1"/>
    </xf>
    <xf numFmtId="0" fontId="2" fillId="10" borderId="37" xfId="0" applyFont="1" applyFill="1" applyBorder="1" applyAlignment="1" applyProtection="1">
      <alignment horizontal="center" vertical="center" wrapText="1"/>
    </xf>
    <xf numFmtId="0" fontId="2" fillId="10" borderId="38" xfId="0" applyFont="1" applyFill="1" applyBorder="1" applyAlignment="1" applyProtection="1">
      <alignment horizontal="center" vertical="center" wrapText="1"/>
    </xf>
    <xf numFmtId="0" fontId="2" fillId="10" borderId="39" xfId="0" applyFont="1" applyFill="1" applyBorder="1" applyAlignment="1" applyProtection="1">
      <alignment horizontal="center" vertical="center" wrapText="1"/>
    </xf>
    <xf numFmtId="4" fontId="2" fillId="0" borderId="56" xfId="0" applyNumberFormat="1" applyFont="1" applyBorder="1" applyAlignment="1" applyProtection="1">
      <alignment horizontal="center"/>
      <protection locked="0"/>
    </xf>
    <xf numFmtId="4" fontId="2" fillId="0" borderId="55" xfId="0" applyNumberFormat="1" applyFont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0" borderId="54" xfId="0" applyNumberFormat="1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" fontId="2" fillId="5" borderId="23" xfId="0" applyNumberFormat="1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4" fontId="2" fillId="5" borderId="22" xfId="0" applyNumberFormat="1" applyFont="1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left" vertical="center" wrapText="1"/>
    </xf>
    <xf numFmtId="0" fontId="0" fillId="5" borderId="11" xfId="0" applyFill="1" applyBorder="1" applyAlignment="1" applyProtection="1">
      <alignment horizontal="left" vertical="center" wrapText="1"/>
    </xf>
    <xf numFmtId="0" fontId="0" fillId="5" borderId="12" xfId="0" applyFill="1" applyBorder="1" applyAlignment="1" applyProtection="1">
      <alignment horizontal="left" vertical="center" wrapText="1"/>
    </xf>
    <xf numFmtId="0" fontId="2" fillId="6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 applyProtection="1">
      <alignment horizontal="center"/>
    </xf>
    <xf numFmtId="0" fontId="2" fillId="6" borderId="58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1" fontId="0" fillId="0" borderId="29" xfId="0" applyNumberFormat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/>
    </xf>
    <xf numFmtId="0" fontId="2" fillId="6" borderId="30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6" borderId="32" xfId="0" applyFont="1" applyFill="1" applyBorder="1" applyAlignment="1" applyProtection="1">
      <alignment horizontal="center" vertical="center"/>
    </xf>
    <xf numFmtId="0" fontId="2" fillId="6" borderId="33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5" borderId="19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3" fontId="0" fillId="0" borderId="20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1" fontId="0" fillId="0" borderId="24" xfId="0" applyNumberFormat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left"/>
    </xf>
    <xf numFmtId="0" fontId="2" fillId="6" borderId="1" xfId="0" applyFont="1" applyFill="1" applyBorder="1" applyAlignment="1" applyProtection="1">
      <alignment horizontal="left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4" fontId="0" fillId="5" borderId="4" xfId="0" applyNumberFormat="1" applyFont="1" applyFill="1" applyBorder="1" applyAlignment="1" applyProtection="1">
      <alignment horizontal="center"/>
      <protection locked="0"/>
    </xf>
    <xf numFmtId="4" fontId="0" fillId="5" borderId="5" xfId="0" applyNumberFormat="1" applyFont="1" applyFill="1" applyBorder="1" applyAlignment="1" applyProtection="1">
      <alignment horizontal="center"/>
      <protection locked="0"/>
    </xf>
    <xf numFmtId="4" fontId="0" fillId="5" borderId="6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ont="1" applyFill="1" applyBorder="1" applyAlignment="1" applyProtection="1">
      <alignment horizontal="center"/>
    </xf>
    <xf numFmtId="4" fontId="0" fillId="3" borderId="5" xfId="0" applyNumberFormat="1" applyFont="1" applyFill="1" applyBorder="1" applyAlignment="1" applyProtection="1">
      <alignment horizontal="center"/>
    </xf>
    <xf numFmtId="4" fontId="0" fillId="3" borderId="6" xfId="0" applyNumberFormat="1" applyFont="1" applyFill="1" applyBorder="1" applyAlignment="1" applyProtection="1">
      <alignment horizontal="center"/>
    </xf>
    <xf numFmtId="9" fontId="0" fillId="3" borderId="4" xfId="1" applyFont="1" applyFill="1" applyBorder="1" applyAlignment="1" applyProtection="1">
      <alignment horizontal="center"/>
    </xf>
    <xf numFmtId="9" fontId="0" fillId="3" borderId="5" xfId="1" applyFont="1" applyFill="1" applyBorder="1" applyAlignment="1" applyProtection="1">
      <alignment horizontal="center"/>
    </xf>
    <xf numFmtId="9" fontId="0" fillId="3" borderId="6" xfId="1" applyFont="1" applyFill="1" applyBorder="1" applyAlignment="1" applyProtection="1">
      <alignment horizontal="center"/>
    </xf>
    <xf numFmtId="164" fontId="0" fillId="3" borderId="4" xfId="0" applyNumberFormat="1" applyFont="1" applyFill="1" applyBorder="1" applyAlignment="1" applyProtection="1">
      <alignment horizontal="center"/>
    </xf>
    <xf numFmtId="164" fontId="0" fillId="3" borderId="5" xfId="0" applyNumberFormat="1" applyFont="1" applyFill="1" applyBorder="1" applyAlignment="1" applyProtection="1">
      <alignment horizontal="center"/>
    </xf>
    <xf numFmtId="164" fontId="0" fillId="3" borderId="6" xfId="0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left"/>
    </xf>
    <xf numFmtId="0" fontId="2" fillId="6" borderId="6" xfId="0" applyFont="1" applyFill="1" applyBorder="1" applyAlignment="1" applyProtection="1">
      <alignment horizontal="left"/>
    </xf>
    <xf numFmtId="0" fontId="0" fillId="6" borderId="4" xfId="0" applyFont="1" applyFill="1" applyBorder="1" applyAlignment="1" applyProtection="1">
      <alignment horizontal="left"/>
    </xf>
    <xf numFmtId="0" fontId="0" fillId="6" borderId="6" xfId="0" applyFont="1" applyFill="1" applyBorder="1" applyAlignment="1" applyProtection="1">
      <alignment horizontal="left"/>
    </xf>
  </cellXfs>
  <cellStyles count="2">
    <cellStyle name="Normal" xfId="0" builtinId="0"/>
    <cellStyle name="Percent" xfId="1" builtinId="5"/>
  </cellStyles>
  <dxfs count="1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B9B9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b val="0"/>
        <i val="0"/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8E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127000</xdr:rowOff>
    </xdr:from>
    <xdr:to>
      <xdr:col>5</xdr:col>
      <xdr:colOff>25400</xdr:colOff>
      <xdr:row>4</xdr:row>
      <xdr:rowOff>152400</xdr:rowOff>
    </xdr:to>
    <xdr:grpSp>
      <xdr:nvGrpSpPr>
        <xdr:cNvPr id="12" name="Csoportba foglalás 11">
          <a:extLst>
            <a:ext uri="{FF2B5EF4-FFF2-40B4-BE49-F238E27FC236}">
              <a16:creationId xmlns:a16="http://schemas.microsoft.com/office/drawing/2014/main" id="{2259FA9E-430A-5846-BEF7-1B91C9295059}"/>
            </a:ext>
          </a:extLst>
        </xdr:cNvPr>
        <xdr:cNvGrpSpPr/>
      </xdr:nvGrpSpPr>
      <xdr:grpSpPr>
        <a:xfrm>
          <a:off x="236220" y="127000"/>
          <a:ext cx="8133080" cy="756920"/>
          <a:chOff x="266700" y="127000"/>
          <a:chExt cx="9042400" cy="787400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6D45E0DB-EDC6-4E14-A48F-7993748FE5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5">
            <a:extLst>
              <a:ext uri="{FF2B5EF4-FFF2-40B4-BE49-F238E27FC236}">
                <a16:creationId xmlns:a16="http://schemas.microsoft.com/office/drawing/2014/main" id="{A07536C7-FD1F-4921-A744-BD9EC4AB66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6">
            <a:extLst>
              <a:ext uri="{FF2B5EF4-FFF2-40B4-BE49-F238E27FC236}">
                <a16:creationId xmlns:a16="http://schemas.microsoft.com/office/drawing/2014/main" id="{09AA9964-94C7-4847-A06A-6D07C0681B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Kép 10">
            <a:extLst>
              <a:ext uri="{FF2B5EF4-FFF2-40B4-BE49-F238E27FC236}">
                <a16:creationId xmlns:a16="http://schemas.microsoft.com/office/drawing/2014/main" id="{2FEBBB0D-0D6D-3F43-9C11-3D96C6AC99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14111</xdr:colOff>
      <xdr:row>0</xdr:row>
      <xdr:rowOff>155222</xdr:rowOff>
    </xdr:from>
    <xdr:to>
      <xdr:col>4</xdr:col>
      <xdr:colOff>1027289</xdr:colOff>
      <xdr:row>4</xdr:row>
      <xdr:rowOff>152400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22A37CDE-1652-3A40-8F09-B5596C3367F1}"/>
            </a:ext>
          </a:extLst>
        </xdr:cNvPr>
        <xdr:cNvGrpSpPr/>
      </xdr:nvGrpSpPr>
      <xdr:grpSpPr>
        <a:xfrm>
          <a:off x="225778" y="155222"/>
          <a:ext cx="8243711" cy="742245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B9905076-BDCC-004B-9D37-A534F3E17B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E371FB85-24A8-3B49-9D3B-64832BB881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3F270283-9C95-8B47-BFBE-56C6A6E646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4DE96BE9-A7E4-1945-872F-DB9045E7DA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169333</xdr:rowOff>
    </xdr:from>
    <xdr:to>
      <xdr:col>6</xdr:col>
      <xdr:colOff>349956</xdr:colOff>
      <xdr:row>4</xdr:row>
      <xdr:rowOff>166511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ABB301F1-3825-2141-A85F-70BF7CB0512B}"/>
            </a:ext>
          </a:extLst>
        </xdr:cNvPr>
        <xdr:cNvGrpSpPr/>
      </xdr:nvGrpSpPr>
      <xdr:grpSpPr>
        <a:xfrm>
          <a:off x="262468" y="169333"/>
          <a:ext cx="8147755" cy="742245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44EFBFE1-F7E2-A64B-9FA9-6D03BE7D46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480D7FF1-20D0-8B40-966B-4481071740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82EA3E10-BF2A-6240-BFA5-ECE9D6E7B2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5EF969E6-DD9C-B740-88F2-81C8BC8F22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141111</xdr:rowOff>
    </xdr:from>
    <xdr:to>
      <xdr:col>11</xdr:col>
      <xdr:colOff>491067</xdr:colOff>
      <xdr:row>4</xdr:row>
      <xdr:rowOff>138289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BADBDA9A-43DB-0E46-8DDF-B6C3DEA8CAE6}"/>
            </a:ext>
          </a:extLst>
        </xdr:cNvPr>
        <xdr:cNvGrpSpPr/>
      </xdr:nvGrpSpPr>
      <xdr:grpSpPr>
        <a:xfrm>
          <a:off x="237067" y="141111"/>
          <a:ext cx="8136467" cy="742245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1CC9329E-EB60-3D49-88C9-E6B9FC9996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A84CAE54-FB95-7049-93F7-697DDAFA77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D28762AB-1BC4-B74A-882E-ED0E563040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0CD840D0-6CC8-D047-9579-725909FB31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92604</xdr:rowOff>
    </xdr:from>
    <xdr:to>
      <xdr:col>9</xdr:col>
      <xdr:colOff>33337</xdr:colOff>
      <xdr:row>4</xdr:row>
      <xdr:rowOff>139171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23F3A45D-FB33-9F42-B069-BC56F498A390}"/>
            </a:ext>
          </a:extLst>
        </xdr:cNvPr>
        <xdr:cNvGrpSpPr/>
      </xdr:nvGrpSpPr>
      <xdr:grpSpPr>
        <a:xfrm>
          <a:off x="238125" y="92604"/>
          <a:ext cx="8058150" cy="776817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3827DA31-0B45-AA48-BB04-5F6782BF29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D6307B34-27C2-2646-8B44-B81197554A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BA63A50D-C67A-4644-81A6-DF044AE354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53FDD231-2E83-894B-8EC0-CF50118346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14112</xdr:colOff>
      <xdr:row>0</xdr:row>
      <xdr:rowOff>155223</xdr:rowOff>
    </xdr:from>
    <xdr:to>
      <xdr:col>9</xdr:col>
      <xdr:colOff>67734</xdr:colOff>
      <xdr:row>4</xdr:row>
      <xdr:rowOff>152401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86B4D6B4-AB1D-9342-8BCC-C8725AC6D519}"/>
            </a:ext>
          </a:extLst>
        </xdr:cNvPr>
        <xdr:cNvGrpSpPr/>
      </xdr:nvGrpSpPr>
      <xdr:grpSpPr>
        <a:xfrm>
          <a:off x="276579" y="155223"/>
          <a:ext cx="8096955" cy="742245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79C0AF38-695A-FD49-9DEB-6727918FA9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E935DE50-2C2D-AA43-AF0B-CF44182DCF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83F1CDEB-CBBC-7C4E-864A-0127E67A1A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09332897-6F4B-9544-B76E-CD5BE4AF0B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14110</xdr:colOff>
      <xdr:row>0</xdr:row>
      <xdr:rowOff>155222</xdr:rowOff>
    </xdr:from>
    <xdr:to>
      <xdr:col>10</xdr:col>
      <xdr:colOff>11288</xdr:colOff>
      <xdr:row>4</xdr:row>
      <xdr:rowOff>152400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644BB282-E45F-1A4C-8A73-644D9721F330}"/>
            </a:ext>
          </a:extLst>
        </xdr:cNvPr>
        <xdr:cNvGrpSpPr/>
      </xdr:nvGrpSpPr>
      <xdr:grpSpPr>
        <a:xfrm>
          <a:off x="251177" y="155222"/>
          <a:ext cx="8099778" cy="742245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B22A7212-D019-9646-9C03-AB67A1B635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09FA3F3C-C9F7-9B4D-9F74-22FCE08941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5ADE3346-F188-2246-82A8-CD4226A65C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323D4668-688B-F249-A44D-D09669D1DC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14111</xdr:colOff>
      <xdr:row>0</xdr:row>
      <xdr:rowOff>169333</xdr:rowOff>
    </xdr:from>
    <xdr:to>
      <xdr:col>7</xdr:col>
      <xdr:colOff>378177</xdr:colOff>
      <xdr:row>4</xdr:row>
      <xdr:rowOff>166511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96D0EA5F-4454-554E-AC0F-6EA52F6BDBDB}"/>
            </a:ext>
          </a:extLst>
        </xdr:cNvPr>
        <xdr:cNvGrpSpPr/>
      </xdr:nvGrpSpPr>
      <xdr:grpSpPr>
        <a:xfrm>
          <a:off x="276578" y="169333"/>
          <a:ext cx="8119532" cy="742245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3CB7529B-1647-DD4A-89C1-9EEBFB3784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AD7D7A11-07FB-F34A-92CA-F1735C9135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B6C26530-8C67-ED40-BE78-3C352584DE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C203AB15-B5C8-4B4D-B86C-6894DDF55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11</xdr:col>
      <xdr:colOff>434623</xdr:colOff>
      <xdr:row>4</xdr:row>
      <xdr:rowOff>194734</xdr:rowOff>
    </xdr:to>
    <xdr:grpSp>
      <xdr:nvGrpSpPr>
        <xdr:cNvPr id="11" name="Csoportba foglalás 10">
          <a:extLst>
            <a:ext uri="{FF2B5EF4-FFF2-40B4-BE49-F238E27FC236}">
              <a16:creationId xmlns:a16="http://schemas.microsoft.com/office/drawing/2014/main" id="{6CD961E1-B3A5-8143-9EDF-56E536A4B7B7}"/>
            </a:ext>
          </a:extLst>
        </xdr:cNvPr>
        <xdr:cNvGrpSpPr/>
      </xdr:nvGrpSpPr>
      <xdr:grpSpPr>
        <a:xfrm>
          <a:off x="270934" y="186267"/>
          <a:ext cx="8130822" cy="738294"/>
          <a:chOff x="266700" y="127000"/>
          <a:chExt cx="9042400" cy="787400"/>
        </a:xfrm>
      </xdr:grpSpPr>
      <xdr:pic>
        <xdr:nvPicPr>
          <xdr:cNvPr id="12" name="Picture 4">
            <a:extLst>
              <a:ext uri="{FF2B5EF4-FFF2-40B4-BE49-F238E27FC236}">
                <a16:creationId xmlns:a16="http://schemas.microsoft.com/office/drawing/2014/main" id="{13322C7D-787A-B543-84E1-B98FF05EC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" y="176945"/>
            <a:ext cx="788455" cy="6142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394C9BC6-8500-DC46-BEF8-AC43532B58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2337" y="163633"/>
            <a:ext cx="619996" cy="606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6">
            <a:extLst>
              <a:ext uri="{FF2B5EF4-FFF2-40B4-BE49-F238E27FC236}">
                <a16:creationId xmlns:a16="http://schemas.microsoft.com/office/drawing/2014/main" id="{A56A6E73-1C40-EF4C-92D8-90D3BA9EAF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6863" y="256760"/>
            <a:ext cx="558849" cy="5209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Kép 14">
            <a:extLst>
              <a:ext uri="{FF2B5EF4-FFF2-40B4-BE49-F238E27FC236}">
                <a16:creationId xmlns:a16="http://schemas.microsoft.com/office/drawing/2014/main" id="{071FDFD7-3A7D-9A4C-A239-05EF5A8402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0" y="127000"/>
            <a:ext cx="5727700" cy="7874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5450-D32A-4F19-8A1A-C6C1EA731396}">
  <sheetPr>
    <pageSetUpPr fitToPage="1"/>
  </sheetPr>
  <dimension ref="A6:E36"/>
  <sheetViews>
    <sheetView showGridLines="0" topLeftCell="A33" workbookViewId="0">
      <selection activeCell="I32" sqref="I32"/>
    </sheetView>
  </sheetViews>
  <sheetFormatPr defaultColWidth="9.109375" defaultRowHeight="14.4" x14ac:dyDescent="0.3"/>
  <cols>
    <col min="1" max="1" width="3.44140625" style="11" customWidth="1"/>
    <col min="2" max="2" width="12.44140625" style="11" bestFit="1" customWidth="1" collapsed="1"/>
    <col min="3" max="3" width="30" style="11" customWidth="1" collapsed="1"/>
    <col min="4" max="4" width="32.109375" style="11" customWidth="1" collapsed="1"/>
    <col min="5" max="5" width="43.6640625" style="11" customWidth="1" collapsed="1"/>
    <col min="6" max="16384" width="9.109375" style="11" collapsed="1"/>
  </cols>
  <sheetData>
    <row r="6" spans="2:5" ht="21" x14ac:dyDescent="0.3">
      <c r="B6" s="239" t="s">
        <v>105</v>
      </c>
      <c r="C6" s="239"/>
      <c r="D6" s="239"/>
      <c r="E6" s="239"/>
    </row>
    <row r="8" spans="2:5" x14ac:dyDescent="0.3">
      <c r="B8" s="12" t="s">
        <v>106</v>
      </c>
      <c r="C8" s="12" t="s">
        <v>107</v>
      </c>
      <c r="D8" s="12" t="s">
        <v>108</v>
      </c>
      <c r="E8" s="12" t="s">
        <v>109</v>
      </c>
    </row>
    <row r="9" spans="2:5" x14ac:dyDescent="0.3">
      <c r="B9" s="14" t="s">
        <v>110</v>
      </c>
      <c r="C9" s="14" t="s">
        <v>111</v>
      </c>
      <c r="D9" s="14" t="s">
        <v>224</v>
      </c>
      <c r="E9" s="14" t="s">
        <v>112</v>
      </c>
    </row>
    <row r="10" spans="2:5" x14ac:dyDescent="0.3">
      <c r="B10" s="240" t="s">
        <v>113</v>
      </c>
      <c r="C10" s="240" t="s">
        <v>114</v>
      </c>
      <c r="D10" s="15" t="s">
        <v>115</v>
      </c>
      <c r="E10" s="15" t="s">
        <v>116</v>
      </c>
    </row>
    <row r="11" spans="2:5" x14ac:dyDescent="0.3">
      <c r="B11" s="240"/>
      <c r="C11" s="240"/>
      <c r="D11" s="15" t="s">
        <v>117</v>
      </c>
      <c r="E11" s="15" t="s">
        <v>118</v>
      </c>
    </row>
    <row r="12" spans="2:5" ht="28.8" x14ac:dyDescent="0.3">
      <c r="B12" s="240"/>
      <c r="C12" s="240"/>
      <c r="D12" s="37" t="s">
        <v>119</v>
      </c>
      <c r="E12" s="15" t="s">
        <v>120</v>
      </c>
    </row>
    <row r="13" spans="2:5" x14ac:dyDescent="0.3">
      <c r="B13" s="240"/>
      <c r="C13" s="240"/>
      <c r="D13" s="37" t="s">
        <v>121</v>
      </c>
      <c r="E13" s="15" t="s">
        <v>122</v>
      </c>
    </row>
    <row r="14" spans="2:5" x14ac:dyDescent="0.3">
      <c r="B14" s="240"/>
      <c r="C14" s="240"/>
      <c r="D14" s="37" t="s">
        <v>123</v>
      </c>
      <c r="E14" s="15" t="s">
        <v>124</v>
      </c>
    </row>
    <row r="15" spans="2:5" x14ac:dyDescent="0.3">
      <c r="B15" s="240"/>
      <c r="C15" s="240"/>
      <c r="D15" s="37" t="s">
        <v>125</v>
      </c>
      <c r="E15" s="15" t="s">
        <v>126</v>
      </c>
    </row>
    <row r="16" spans="2:5" x14ac:dyDescent="0.3">
      <c r="B16" s="240"/>
      <c r="C16" s="240"/>
      <c r="D16" s="37" t="s">
        <v>127</v>
      </c>
      <c r="E16" s="15" t="s">
        <v>118</v>
      </c>
    </row>
    <row r="17" spans="2:5" x14ac:dyDescent="0.3">
      <c r="B17" s="240"/>
      <c r="C17" s="240"/>
      <c r="D17" s="37" t="s">
        <v>128</v>
      </c>
      <c r="E17" s="15" t="s">
        <v>129</v>
      </c>
    </row>
    <row r="18" spans="2:5" x14ac:dyDescent="0.3">
      <c r="B18" s="236" t="s">
        <v>257</v>
      </c>
      <c r="C18" s="235" t="s">
        <v>216</v>
      </c>
      <c r="D18" s="37" t="s">
        <v>225</v>
      </c>
      <c r="E18" s="15" t="s">
        <v>214</v>
      </c>
    </row>
    <row r="19" spans="2:5" ht="28.8" x14ac:dyDescent="0.3">
      <c r="B19" s="237"/>
      <c r="C19" s="235"/>
      <c r="D19" s="37" t="s">
        <v>226</v>
      </c>
      <c r="E19" s="15" t="s">
        <v>195</v>
      </c>
    </row>
    <row r="20" spans="2:5" ht="28.8" x14ac:dyDescent="0.3">
      <c r="B20" s="237"/>
      <c r="C20" s="235"/>
      <c r="D20" s="37" t="s">
        <v>227</v>
      </c>
      <c r="E20" s="15" t="s">
        <v>215</v>
      </c>
    </row>
    <row r="21" spans="2:5" ht="28.8" x14ac:dyDescent="0.3">
      <c r="B21" s="237"/>
      <c r="C21" s="235"/>
      <c r="D21" s="37" t="s">
        <v>258</v>
      </c>
      <c r="E21" s="15" t="s">
        <v>196</v>
      </c>
    </row>
    <row r="22" spans="2:5" ht="28.8" x14ac:dyDescent="0.3">
      <c r="B22" s="237"/>
      <c r="C22" s="235" t="s">
        <v>197</v>
      </c>
      <c r="D22" s="37" t="s">
        <v>259</v>
      </c>
      <c r="E22" s="15" t="s">
        <v>217</v>
      </c>
    </row>
    <row r="23" spans="2:5" ht="43.2" x14ac:dyDescent="0.3">
      <c r="B23" s="238"/>
      <c r="C23" s="235"/>
      <c r="D23" s="37" t="s">
        <v>260</v>
      </c>
      <c r="E23" s="15" t="s">
        <v>218</v>
      </c>
    </row>
    <row r="24" spans="2:5" ht="28.8" x14ac:dyDescent="0.3">
      <c r="B24" s="236" t="s">
        <v>261</v>
      </c>
      <c r="C24" s="235" t="s">
        <v>198</v>
      </c>
      <c r="D24" s="37" t="s">
        <v>262</v>
      </c>
      <c r="E24" s="15" t="s">
        <v>199</v>
      </c>
    </row>
    <row r="25" spans="2:5" ht="28.8" x14ac:dyDescent="0.3">
      <c r="B25" s="237"/>
      <c r="C25" s="235"/>
      <c r="D25" s="37" t="s">
        <v>264</v>
      </c>
      <c r="E25" s="15" t="s">
        <v>220</v>
      </c>
    </row>
    <row r="26" spans="2:5" ht="28.8" x14ac:dyDescent="0.3">
      <c r="B26" s="237"/>
      <c r="C26" s="235"/>
      <c r="D26" s="37" t="s">
        <v>263</v>
      </c>
      <c r="E26" s="15" t="s">
        <v>219</v>
      </c>
    </row>
    <row r="27" spans="2:5" ht="28.8" x14ac:dyDescent="0.3">
      <c r="B27" s="237"/>
      <c r="C27" s="235"/>
      <c r="D27" s="37" t="s">
        <v>265</v>
      </c>
      <c r="E27" s="15" t="s">
        <v>200</v>
      </c>
    </row>
    <row r="28" spans="2:5" ht="28.8" x14ac:dyDescent="0.3">
      <c r="B28" s="237"/>
      <c r="C28" s="235" t="s">
        <v>201</v>
      </c>
      <c r="D28" s="37" t="s">
        <v>228</v>
      </c>
      <c r="E28" s="15" t="s">
        <v>221</v>
      </c>
    </row>
    <row r="29" spans="2:5" ht="28.8" x14ac:dyDescent="0.3">
      <c r="B29" s="238"/>
      <c r="C29" s="235"/>
      <c r="D29" s="37" t="s">
        <v>202</v>
      </c>
      <c r="E29" s="15" t="s">
        <v>203</v>
      </c>
    </row>
    <row r="30" spans="2:5" ht="28.8" x14ac:dyDescent="0.3">
      <c r="B30" s="15" t="s">
        <v>204</v>
      </c>
      <c r="C30" s="15" t="s">
        <v>205</v>
      </c>
      <c r="D30" s="37" t="s">
        <v>229</v>
      </c>
      <c r="E30" s="15" t="s">
        <v>206</v>
      </c>
    </row>
    <row r="31" spans="2:5" ht="43.2" x14ac:dyDescent="0.3">
      <c r="B31" s="235" t="s">
        <v>207</v>
      </c>
      <c r="C31" s="235" t="s">
        <v>208</v>
      </c>
      <c r="D31" s="37" t="s">
        <v>230</v>
      </c>
      <c r="E31" s="15" t="s">
        <v>222</v>
      </c>
    </row>
    <row r="32" spans="2:5" ht="57.6" x14ac:dyDescent="0.3">
      <c r="B32" s="235"/>
      <c r="C32" s="235"/>
      <c r="D32" s="37" t="s">
        <v>231</v>
      </c>
      <c r="E32" s="15" t="s">
        <v>223</v>
      </c>
    </row>
    <row r="33" spans="2:5" ht="28.8" x14ac:dyDescent="0.3">
      <c r="B33" s="235"/>
      <c r="C33" s="235"/>
      <c r="D33" s="37" t="s">
        <v>232</v>
      </c>
      <c r="E33" s="15" t="s">
        <v>209</v>
      </c>
    </row>
    <row r="34" spans="2:5" ht="28.8" x14ac:dyDescent="0.3">
      <c r="B34" s="235"/>
      <c r="C34" s="235"/>
      <c r="D34" s="37" t="s">
        <v>236</v>
      </c>
      <c r="E34" s="35" t="s">
        <v>237</v>
      </c>
    </row>
    <row r="35" spans="2:5" x14ac:dyDescent="0.3">
      <c r="B35" s="235"/>
      <c r="C35" s="235"/>
      <c r="D35" s="37" t="s">
        <v>235</v>
      </c>
      <c r="E35" s="15" t="s">
        <v>210</v>
      </c>
    </row>
    <row r="36" spans="2:5" ht="43.2" x14ac:dyDescent="0.3">
      <c r="B36" s="15" t="s">
        <v>211</v>
      </c>
      <c r="C36" s="15" t="s">
        <v>212</v>
      </c>
      <c r="D36" s="37" t="s">
        <v>233</v>
      </c>
      <c r="E36" s="15" t="s">
        <v>213</v>
      </c>
    </row>
  </sheetData>
  <sheetProtection algorithmName="SHA-512" hashValue="2qG9j2wR4BqU3yHXJqOLbswmqHAkJrUmJ7U/9VHSDpEkJaCWSvM9kw6gB4TNVkx3sIM7tFsp8zpjKcV/wCjzCg==" saltValue="0hwkeJCxG0c4JW2MitKUDw==" spinCount="100000" sheet="1" objects="1" scenarios="1"/>
  <mergeCells count="11">
    <mergeCell ref="C22:C23"/>
    <mergeCell ref="B6:E6"/>
    <mergeCell ref="B10:B17"/>
    <mergeCell ref="C10:C17"/>
    <mergeCell ref="C18:C21"/>
    <mergeCell ref="B18:B23"/>
    <mergeCell ref="C31:C35"/>
    <mergeCell ref="B31:B35"/>
    <mergeCell ref="C24:C27"/>
    <mergeCell ref="C28:C29"/>
    <mergeCell ref="B24:B29"/>
  </mergeCells>
  <pageMargins left="0.25" right="0.25" top="0.75" bottom="0.75" header="0.3" footer="0.3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B452-383E-4B3A-8CF7-9C9A065DA579}">
  <sheetPr>
    <pageSetUpPr fitToPage="1"/>
  </sheetPr>
  <dimension ref="B6:S46"/>
  <sheetViews>
    <sheetView showGridLines="0" tabSelected="1" zoomScale="90" zoomScaleNormal="90" workbookViewId="0">
      <selection activeCell="S29" sqref="S29"/>
    </sheetView>
  </sheetViews>
  <sheetFormatPr defaultColWidth="9.109375" defaultRowHeight="14.4" x14ac:dyDescent="0.3"/>
  <cols>
    <col min="1" max="1" width="4" style="118" customWidth="1"/>
    <col min="2" max="2" width="23.109375" style="118" customWidth="1"/>
    <col min="3" max="4" width="9.109375" style="118"/>
    <col min="5" max="16" width="10.109375" style="118" customWidth="1"/>
    <col min="17" max="19" width="15.77734375" style="118" customWidth="1"/>
    <col min="20" max="16384" width="9.109375" style="118"/>
  </cols>
  <sheetData>
    <row r="6" spans="2:19" x14ac:dyDescent="0.3">
      <c r="B6" s="36" t="s">
        <v>130</v>
      </c>
      <c r="C6" s="270" t="str">
        <f>Centralizator!C6</f>
        <v>se completează pe pagina Centralizator</v>
      </c>
      <c r="D6" s="271"/>
      <c r="E6" s="271"/>
      <c r="F6" s="272"/>
    </row>
    <row r="7" spans="2:19" ht="14.25" customHeight="1" x14ac:dyDescent="0.3">
      <c r="B7" s="36" t="s">
        <v>131</v>
      </c>
      <c r="C7" s="270" t="str">
        <f>Centralizator!C7</f>
        <v>se completează pe pagina Centralizator</v>
      </c>
      <c r="D7" s="271"/>
      <c r="E7" s="271"/>
      <c r="F7" s="272"/>
    </row>
    <row r="8" spans="2:19" ht="14.25" customHeight="1" x14ac:dyDescent="0.3">
      <c r="B8" s="36" t="s">
        <v>132</v>
      </c>
      <c r="C8" s="270" t="str">
        <f>Centralizator!C8</f>
        <v>se completează pe pagina Centralizator</v>
      </c>
      <c r="D8" s="271"/>
      <c r="E8" s="271"/>
      <c r="F8" s="272"/>
    </row>
    <row r="9" spans="2:19" ht="14.25" customHeight="1" x14ac:dyDescent="0.3">
      <c r="B9" s="36" t="s">
        <v>133</v>
      </c>
      <c r="C9" s="270" t="str">
        <f>Centralizator!C9</f>
        <v>se completează pe pagina Centralizator</v>
      </c>
      <c r="D9" s="271"/>
      <c r="E9" s="271"/>
      <c r="F9" s="272"/>
    </row>
    <row r="11" spans="2:19" x14ac:dyDescent="0.3">
      <c r="B11" s="281" t="s">
        <v>7</v>
      </c>
      <c r="C11" s="281" t="s">
        <v>97</v>
      </c>
      <c r="D11" s="281" t="s">
        <v>9</v>
      </c>
      <c r="E11" s="279" t="s">
        <v>10</v>
      </c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81" t="s">
        <v>11</v>
      </c>
      <c r="R11" s="281" t="s">
        <v>12</v>
      </c>
      <c r="S11" s="281" t="s">
        <v>13</v>
      </c>
    </row>
    <row r="12" spans="2:19" x14ac:dyDescent="0.3">
      <c r="B12" s="281"/>
      <c r="C12" s="281"/>
      <c r="D12" s="281"/>
      <c r="E12" s="120" t="str">
        <f>CF!D12</f>
        <v>Luna I.</v>
      </c>
      <c r="F12" s="120" t="str">
        <f>CF!E12</f>
        <v>Luna II.</v>
      </c>
      <c r="G12" s="120" t="str">
        <f>CF!F12</f>
        <v>Luna III.</v>
      </c>
      <c r="H12" s="120" t="str">
        <f>CF!G12</f>
        <v>Luna IV.</v>
      </c>
      <c r="I12" s="120" t="str">
        <f>CF!H12</f>
        <v>Luna V.</v>
      </c>
      <c r="J12" s="120" t="str">
        <f>CF!I12</f>
        <v>Luna VI.</v>
      </c>
      <c r="K12" s="120" t="str">
        <f>CF!J12</f>
        <v>Luna VII.</v>
      </c>
      <c r="L12" s="120" t="str">
        <f>CF!K12</f>
        <v>Luna VIII.</v>
      </c>
      <c r="M12" s="120" t="str">
        <f>CF!L12</f>
        <v>Luna IX.</v>
      </c>
      <c r="N12" s="120" t="str">
        <f>CF!M12</f>
        <v>Luna X.</v>
      </c>
      <c r="O12" s="120" t="str">
        <f>CF!N12</f>
        <v>Luna XI.</v>
      </c>
      <c r="P12" s="120" t="str">
        <f>CF!O12</f>
        <v>Luna XII.</v>
      </c>
      <c r="Q12" s="281"/>
      <c r="R12" s="281"/>
      <c r="S12" s="281"/>
    </row>
    <row r="13" spans="2:19" x14ac:dyDescent="0.3">
      <c r="B13" s="279" t="s">
        <v>98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</row>
    <row r="14" spans="2:19" x14ac:dyDescent="0.3">
      <c r="B14" s="121" t="str">
        <f>'Prog. veniturilor'!B33</f>
        <v>Prod.│Serv. 1.</v>
      </c>
      <c r="C14" s="131">
        <f>'Prog. veniturilor'!$C$18</f>
        <v>100</v>
      </c>
      <c r="D14" s="217" t="s">
        <v>16</v>
      </c>
      <c r="E14" s="131">
        <f>$C14*'Prog. veniturilor'!E23</f>
        <v>11000</v>
      </c>
      <c r="F14" s="131">
        <f>$C14*'Prog. veniturilor'!F23</f>
        <v>11000</v>
      </c>
      <c r="G14" s="131">
        <f>$C14*'Prog. veniturilor'!G23</f>
        <v>11000</v>
      </c>
      <c r="H14" s="131">
        <f>$C14*'Prog. veniturilor'!H23</f>
        <v>11000</v>
      </c>
      <c r="I14" s="131">
        <f>$C14*'Prog. veniturilor'!I23</f>
        <v>11000</v>
      </c>
      <c r="J14" s="131">
        <f>$C14*'Prog. veniturilor'!J23</f>
        <v>11000</v>
      </c>
      <c r="K14" s="131">
        <f>$C14*'Prog. veniturilor'!K23</f>
        <v>11000</v>
      </c>
      <c r="L14" s="131">
        <f>$C14*'Prog. veniturilor'!L23</f>
        <v>11000</v>
      </c>
      <c r="M14" s="131">
        <f>$C14*'Prog. veniturilor'!M23</f>
        <v>11000</v>
      </c>
      <c r="N14" s="131">
        <f>$C14*'Prog. veniturilor'!N23</f>
        <v>11000</v>
      </c>
      <c r="O14" s="131">
        <f>$C14*'Prog. veniturilor'!O23</f>
        <v>11000</v>
      </c>
      <c r="P14" s="131">
        <f>$C14*'Prog. veniturilor'!P23</f>
        <v>11000</v>
      </c>
      <c r="Q14" s="127">
        <f>SUM(E14:P14)</f>
        <v>132000</v>
      </c>
      <c r="R14" s="127">
        <f>$C14*'Prog. veniturilor'!R23</f>
        <v>140000</v>
      </c>
      <c r="S14" s="127">
        <f>$C14*'Prog. veniturilor'!S23</f>
        <v>145000</v>
      </c>
    </row>
    <row r="15" spans="2:19" x14ac:dyDescent="0.3">
      <c r="B15" s="121" t="str">
        <f>'Prog. veniturilor'!B34</f>
        <v>Prod.│Serv. 2.</v>
      </c>
      <c r="C15" s="131">
        <f>'Prog. veniturilor'!$E$18</f>
        <v>0</v>
      </c>
      <c r="D15" s="217" t="s">
        <v>16</v>
      </c>
      <c r="E15" s="131">
        <f>$C15*'Prog. veniturilor'!E24</f>
        <v>0</v>
      </c>
      <c r="F15" s="131">
        <f>$C15*'Prog. veniturilor'!F24</f>
        <v>0</v>
      </c>
      <c r="G15" s="131">
        <f>$C15*'Prog. veniturilor'!G24</f>
        <v>0</v>
      </c>
      <c r="H15" s="131">
        <f>$C15*'Prog. veniturilor'!H24</f>
        <v>0</v>
      </c>
      <c r="I15" s="131">
        <f>$C15*'Prog. veniturilor'!I24</f>
        <v>0</v>
      </c>
      <c r="J15" s="131">
        <f>$C15*'Prog. veniturilor'!J24</f>
        <v>0</v>
      </c>
      <c r="K15" s="131">
        <f>$C15*'Prog. veniturilor'!K24</f>
        <v>0</v>
      </c>
      <c r="L15" s="131">
        <f>$C15*'Prog. veniturilor'!L24</f>
        <v>0</v>
      </c>
      <c r="M15" s="131">
        <f>$C15*'Prog. veniturilor'!M24</f>
        <v>0</v>
      </c>
      <c r="N15" s="131">
        <f>$C15*'Prog. veniturilor'!N24</f>
        <v>0</v>
      </c>
      <c r="O15" s="131">
        <f>$C15*'Prog. veniturilor'!O24</f>
        <v>0</v>
      </c>
      <c r="P15" s="131">
        <f>$C15*'Prog. veniturilor'!P24</f>
        <v>0</v>
      </c>
      <c r="Q15" s="127">
        <f t="shared" ref="Q15:Q22" si="0">SUM(E15:P15)</f>
        <v>0</v>
      </c>
      <c r="R15" s="127">
        <f>$C15*'Prog. veniturilor'!R24</f>
        <v>0</v>
      </c>
      <c r="S15" s="127">
        <f>$C15*'Prog. veniturilor'!S24</f>
        <v>0</v>
      </c>
    </row>
    <row r="16" spans="2:19" x14ac:dyDescent="0.3">
      <c r="B16" s="121" t="str">
        <f>'Prog. veniturilor'!B35</f>
        <v>Prod.│Serv. 3.</v>
      </c>
      <c r="C16" s="131">
        <f>'Prog. veniturilor'!$G$18</f>
        <v>0</v>
      </c>
      <c r="D16" s="217" t="s">
        <v>16</v>
      </c>
      <c r="E16" s="131">
        <f>$C16*'Prog. veniturilor'!E25</f>
        <v>0</v>
      </c>
      <c r="F16" s="131">
        <f>$C16*'Prog. veniturilor'!F25</f>
        <v>0</v>
      </c>
      <c r="G16" s="131">
        <f>$C16*'Prog. veniturilor'!G25</f>
        <v>0</v>
      </c>
      <c r="H16" s="131">
        <f>$C16*'Prog. veniturilor'!H25</f>
        <v>0</v>
      </c>
      <c r="I16" s="131">
        <f>$C16*'Prog. veniturilor'!I25</f>
        <v>0</v>
      </c>
      <c r="J16" s="131">
        <f>$C16*'Prog. veniturilor'!J25</f>
        <v>0</v>
      </c>
      <c r="K16" s="131">
        <f>$C16*'Prog. veniturilor'!K25</f>
        <v>0</v>
      </c>
      <c r="L16" s="131">
        <f>$C16*'Prog. veniturilor'!L25</f>
        <v>0</v>
      </c>
      <c r="M16" s="131">
        <f>$C16*'Prog. veniturilor'!M25</f>
        <v>0</v>
      </c>
      <c r="N16" s="131">
        <f>$C16*'Prog. veniturilor'!N25</f>
        <v>0</v>
      </c>
      <c r="O16" s="131">
        <f>$C16*'Prog. veniturilor'!O25</f>
        <v>0</v>
      </c>
      <c r="P16" s="131">
        <f>$C16*'Prog. veniturilor'!P25</f>
        <v>0</v>
      </c>
      <c r="Q16" s="127">
        <f t="shared" si="0"/>
        <v>0</v>
      </c>
      <c r="R16" s="127">
        <f>$C16*'Prog. veniturilor'!R25</f>
        <v>0</v>
      </c>
      <c r="S16" s="127">
        <f>$C16*'Prog. veniturilor'!S25</f>
        <v>0</v>
      </c>
    </row>
    <row r="17" spans="2:19" x14ac:dyDescent="0.3">
      <c r="B17" s="121" t="str">
        <f>'Prog. veniturilor'!B36</f>
        <v>Prod.│Serv. 4.</v>
      </c>
      <c r="C17" s="131">
        <f>'Prog. veniturilor'!$I$18</f>
        <v>0</v>
      </c>
      <c r="D17" s="217" t="s">
        <v>16</v>
      </c>
      <c r="E17" s="131">
        <f>$C17*'Prog. veniturilor'!E26</f>
        <v>0</v>
      </c>
      <c r="F17" s="131">
        <f>$C17*'Prog. veniturilor'!F26</f>
        <v>0</v>
      </c>
      <c r="G17" s="131">
        <f>$C17*'Prog. veniturilor'!G26</f>
        <v>0</v>
      </c>
      <c r="H17" s="131">
        <f>$C17*'Prog. veniturilor'!H26</f>
        <v>0</v>
      </c>
      <c r="I17" s="131">
        <f>$C17*'Prog. veniturilor'!I26</f>
        <v>0</v>
      </c>
      <c r="J17" s="131">
        <f>$C17*'Prog. veniturilor'!J26</f>
        <v>0</v>
      </c>
      <c r="K17" s="131">
        <f>$C17*'Prog. veniturilor'!K26</f>
        <v>0</v>
      </c>
      <c r="L17" s="131">
        <f>$C17*'Prog. veniturilor'!L26</f>
        <v>0</v>
      </c>
      <c r="M17" s="131">
        <f>$C17*'Prog. veniturilor'!M26</f>
        <v>0</v>
      </c>
      <c r="N17" s="131">
        <f>$C17*'Prog. veniturilor'!N26</f>
        <v>0</v>
      </c>
      <c r="O17" s="131">
        <f>$C17*'Prog. veniturilor'!O26</f>
        <v>0</v>
      </c>
      <c r="P17" s="131">
        <f>$C17*'Prog. veniturilor'!P26</f>
        <v>0</v>
      </c>
      <c r="Q17" s="127">
        <f t="shared" si="0"/>
        <v>0</v>
      </c>
      <c r="R17" s="127">
        <f>$C17*'Prog. veniturilor'!R26</f>
        <v>0</v>
      </c>
      <c r="S17" s="127">
        <f>$C17*'Prog. veniturilor'!S26</f>
        <v>0</v>
      </c>
    </row>
    <row r="18" spans="2:19" x14ac:dyDescent="0.3">
      <c r="B18" s="121" t="str">
        <f>'Prog. veniturilor'!B37</f>
        <v>Prod.│Serv. 5.</v>
      </c>
      <c r="C18" s="131">
        <f>'Prog. veniturilor'!$K$18</f>
        <v>0</v>
      </c>
      <c r="D18" s="217" t="s">
        <v>16</v>
      </c>
      <c r="E18" s="131">
        <f>$C18*'Prog. veniturilor'!E27</f>
        <v>0</v>
      </c>
      <c r="F18" s="131">
        <f>$C18*'Prog. veniturilor'!F27</f>
        <v>0</v>
      </c>
      <c r="G18" s="131">
        <f>$C18*'Prog. veniturilor'!G27</f>
        <v>0</v>
      </c>
      <c r="H18" s="131">
        <f>$C18*'Prog. veniturilor'!H27</f>
        <v>0</v>
      </c>
      <c r="I18" s="131">
        <f>$C18*'Prog. veniturilor'!I27</f>
        <v>0</v>
      </c>
      <c r="J18" s="131">
        <f>$C18*'Prog. veniturilor'!J27</f>
        <v>0</v>
      </c>
      <c r="K18" s="131">
        <f>$C18*'Prog. veniturilor'!K27</f>
        <v>0</v>
      </c>
      <c r="L18" s="131">
        <f>$C18*'Prog. veniturilor'!L27</f>
        <v>0</v>
      </c>
      <c r="M18" s="131">
        <f>$C18*'Prog. veniturilor'!M27</f>
        <v>0</v>
      </c>
      <c r="N18" s="131">
        <f>$C18*'Prog. veniturilor'!N27</f>
        <v>0</v>
      </c>
      <c r="O18" s="131">
        <f>$C18*'Prog. veniturilor'!O27</f>
        <v>0</v>
      </c>
      <c r="P18" s="131">
        <f>$C18*'Prog. veniturilor'!P27</f>
        <v>0</v>
      </c>
      <c r="Q18" s="127">
        <f t="shared" si="0"/>
        <v>0</v>
      </c>
      <c r="R18" s="127">
        <f>$C18*'Prog. veniturilor'!R27</f>
        <v>0</v>
      </c>
      <c r="S18" s="127">
        <f>$C18*'Prog. veniturilor'!S27</f>
        <v>0</v>
      </c>
    </row>
    <row r="19" spans="2:19" x14ac:dyDescent="0.3">
      <c r="B19" s="121" t="str">
        <f>'Prog. veniturilor'!B38</f>
        <v>Prod.│Serv. 6.</v>
      </c>
      <c r="C19" s="131">
        <f>'Prog. veniturilor'!$M$18</f>
        <v>0</v>
      </c>
      <c r="D19" s="217" t="s">
        <v>16</v>
      </c>
      <c r="E19" s="131">
        <f>$C19*'Prog. veniturilor'!E28</f>
        <v>0</v>
      </c>
      <c r="F19" s="131">
        <f>$C19*'Prog. veniturilor'!F28</f>
        <v>0</v>
      </c>
      <c r="G19" s="131">
        <f>$C19*'Prog. veniturilor'!G28</f>
        <v>0</v>
      </c>
      <c r="H19" s="131">
        <f>$C19*'Prog. veniturilor'!H28</f>
        <v>0</v>
      </c>
      <c r="I19" s="131">
        <f>$C19*'Prog. veniturilor'!I28</f>
        <v>0</v>
      </c>
      <c r="J19" s="131">
        <f>$C19*'Prog. veniturilor'!J28</f>
        <v>0</v>
      </c>
      <c r="K19" s="131">
        <f>$C19*'Prog. veniturilor'!K28</f>
        <v>0</v>
      </c>
      <c r="L19" s="131">
        <f>$C19*'Prog. veniturilor'!L28</f>
        <v>0</v>
      </c>
      <c r="M19" s="131">
        <f>$C19*'Prog. veniturilor'!M28</f>
        <v>0</v>
      </c>
      <c r="N19" s="131">
        <f>$C19*'Prog. veniturilor'!N28</f>
        <v>0</v>
      </c>
      <c r="O19" s="131">
        <f>$C19*'Prog. veniturilor'!O28</f>
        <v>0</v>
      </c>
      <c r="P19" s="131">
        <f>$C19*'Prog. veniturilor'!P28</f>
        <v>0</v>
      </c>
      <c r="Q19" s="127">
        <f t="shared" si="0"/>
        <v>0</v>
      </c>
      <c r="R19" s="127">
        <f>$C19*'Prog. veniturilor'!R28</f>
        <v>0</v>
      </c>
      <c r="S19" s="127">
        <f>$C19*'Prog. veniturilor'!S28</f>
        <v>0</v>
      </c>
    </row>
    <row r="20" spans="2:19" x14ac:dyDescent="0.3">
      <c r="B20" s="121" t="str">
        <f>'Prog. veniturilor'!B39</f>
        <v>Prod.│Serv. 7.</v>
      </c>
      <c r="C20" s="131">
        <f>'Prog. veniturilor'!$O$18</f>
        <v>0</v>
      </c>
      <c r="D20" s="217" t="s">
        <v>16</v>
      </c>
      <c r="E20" s="131">
        <f>$C20*'Prog. veniturilor'!E29</f>
        <v>0</v>
      </c>
      <c r="F20" s="131">
        <f>$C20*'Prog. veniturilor'!F29</f>
        <v>0</v>
      </c>
      <c r="G20" s="131">
        <f>$C20*'Prog. veniturilor'!G29</f>
        <v>0</v>
      </c>
      <c r="H20" s="131">
        <f>$C20*'Prog. veniturilor'!H29</f>
        <v>0</v>
      </c>
      <c r="I20" s="131">
        <f>$C20*'Prog. veniturilor'!I29</f>
        <v>0</v>
      </c>
      <c r="J20" s="131">
        <f>$C20*'Prog. veniturilor'!J29</f>
        <v>0</v>
      </c>
      <c r="K20" s="131">
        <f>$C20*'Prog. veniturilor'!K29</f>
        <v>0</v>
      </c>
      <c r="L20" s="131">
        <f>$C20*'Prog. veniturilor'!L29</f>
        <v>0</v>
      </c>
      <c r="M20" s="131">
        <f>$C20*'Prog. veniturilor'!M29</f>
        <v>0</v>
      </c>
      <c r="N20" s="131">
        <f>$C20*'Prog. veniturilor'!N29</f>
        <v>0</v>
      </c>
      <c r="O20" s="131">
        <f>$C20*'Prog. veniturilor'!O29</f>
        <v>0</v>
      </c>
      <c r="P20" s="131">
        <f>$C20*'Prog. veniturilor'!P29</f>
        <v>0</v>
      </c>
      <c r="Q20" s="127">
        <f t="shared" si="0"/>
        <v>0</v>
      </c>
      <c r="R20" s="127">
        <f>$C20*'Prog. veniturilor'!R29</f>
        <v>0</v>
      </c>
      <c r="S20" s="127">
        <f>$C20*'Prog. veniturilor'!S29</f>
        <v>0</v>
      </c>
    </row>
    <row r="21" spans="2:19" x14ac:dyDescent="0.3">
      <c r="B21" s="121" t="str">
        <f>'Prog. veniturilor'!B40</f>
        <v>Prod.│Serv. 8.</v>
      </c>
      <c r="C21" s="131">
        <f>'Prog. veniturilor'!$Q$18</f>
        <v>0</v>
      </c>
      <c r="D21" s="217" t="s">
        <v>16</v>
      </c>
      <c r="E21" s="131">
        <f>$C21*'Prog. veniturilor'!E30</f>
        <v>0</v>
      </c>
      <c r="F21" s="131">
        <f>$C21*'Prog. veniturilor'!F30</f>
        <v>0</v>
      </c>
      <c r="G21" s="131">
        <f>$C21*'Prog. veniturilor'!G30</f>
        <v>0</v>
      </c>
      <c r="H21" s="131">
        <f>$C21*'Prog. veniturilor'!H30</f>
        <v>0</v>
      </c>
      <c r="I21" s="131">
        <f>$C21*'Prog. veniturilor'!I30</f>
        <v>0</v>
      </c>
      <c r="J21" s="131">
        <f>$C21*'Prog. veniturilor'!J30</f>
        <v>0</v>
      </c>
      <c r="K21" s="131">
        <f>$C21*'Prog. veniturilor'!K30</f>
        <v>0</v>
      </c>
      <c r="L21" s="131">
        <f>$C21*'Prog. veniturilor'!L30</f>
        <v>0</v>
      </c>
      <c r="M21" s="131">
        <f>$C21*'Prog. veniturilor'!M30</f>
        <v>0</v>
      </c>
      <c r="N21" s="131">
        <f>$C21*'Prog. veniturilor'!N30</f>
        <v>0</v>
      </c>
      <c r="O21" s="131">
        <f>$C21*'Prog. veniturilor'!O30</f>
        <v>0</v>
      </c>
      <c r="P21" s="131">
        <f>$C21*'Prog. veniturilor'!P30</f>
        <v>0</v>
      </c>
      <c r="Q21" s="127">
        <f t="shared" si="0"/>
        <v>0</v>
      </c>
      <c r="R21" s="127">
        <f>$C21*'Prog. veniturilor'!R30</f>
        <v>0</v>
      </c>
      <c r="S21" s="127">
        <f>$C21*'Prog. veniturilor'!S30</f>
        <v>0</v>
      </c>
    </row>
    <row r="22" spans="2:19" x14ac:dyDescent="0.3">
      <c r="B22" s="121" t="str">
        <f>'Prog. veniturilor'!B41</f>
        <v>Prod.│Serv. 9.</v>
      </c>
      <c r="C22" s="131">
        <f>'Prog. veniturilor'!$S$18</f>
        <v>0</v>
      </c>
      <c r="D22" s="217" t="s">
        <v>16</v>
      </c>
      <c r="E22" s="131">
        <f>$C22*'Prog. veniturilor'!E31</f>
        <v>0</v>
      </c>
      <c r="F22" s="131">
        <f>$C22*'Prog. veniturilor'!F31</f>
        <v>0</v>
      </c>
      <c r="G22" s="131">
        <f>$C22*'Prog. veniturilor'!G31</f>
        <v>0</v>
      </c>
      <c r="H22" s="131">
        <f>$C22*'Prog. veniturilor'!H31</f>
        <v>0</v>
      </c>
      <c r="I22" s="131">
        <f>$C22*'Prog. veniturilor'!I31</f>
        <v>0</v>
      </c>
      <c r="J22" s="131">
        <f>$C22*'Prog. veniturilor'!J31</f>
        <v>0</v>
      </c>
      <c r="K22" s="131">
        <f>$C22*'Prog. veniturilor'!K31</f>
        <v>0</v>
      </c>
      <c r="L22" s="131">
        <f>$C22*'Prog. veniturilor'!L31</f>
        <v>0</v>
      </c>
      <c r="M22" s="131">
        <f>$C22*'Prog. veniturilor'!M31</f>
        <v>0</v>
      </c>
      <c r="N22" s="131">
        <f>$C22*'Prog. veniturilor'!N31</f>
        <v>0</v>
      </c>
      <c r="O22" s="131">
        <f>$C22*'Prog. veniturilor'!O31</f>
        <v>0</v>
      </c>
      <c r="P22" s="131">
        <f>$C22*'Prog. veniturilor'!P31</f>
        <v>0</v>
      </c>
      <c r="Q22" s="127">
        <f t="shared" si="0"/>
        <v>0</v>
      </c>
      <c r="R22" s="127">
        <f>$C22*'Prog. veniturilor'!R31</f>
        <v>0</v>
      </c>
      <c r="S22" s="127">
        <f>$C22*'Prog. veniturilor'!S31</f>
        <v>0</v>
      </c>
    </row>
    <row r="23" spans="2:19" x14ac:dyDescent="0.3">
      <c r="B23" s="304" t="s">
        <v>99</v>
      </c>
      <c r="C23" s="304"/>
      <c r="D23" s="120" t="s">
        <v>16</v>
      </c>
      <c r="E23" s="141">
        <f>SUM(E14:E22)</f>
        <v>11000</v>
      </c>
      <c r="F23" s="141">
        <f t="shared" ref="F23:S23" si="1">SUM(F14:F22)</f>
        <v>11000</v>
      </c>
      <c r="G23" s="141">
        <f t="shared" si="1"/>
        <v>11000</v>
      </c>
      <c r="H23" s="141">
        <f t="shared" si="1"/>
        <v>11000</v>
      </c>
      <c r="I23" s="141">
        <f t="shared" si="1"/>
        <v>11000</v>
      </c>
      <c r="J23" s="141">
        <f t="shared" si="1"/>
        <v>11000</v>
      </c>
      <c r="K23" s="141">
        <f t="shared" si="1"/>
        <v>11000</v>
      </c>
      <c r="L23" s="141">
        <f t="shared" si="1"/>
        <v>11000</v>
      </c>
      <c r="M23" s="141">
        <f t="shared" si="1"/>
        <v>11000</v>
      </c>
      <c r="N23" s="141">
        <f t="shared" si="1"/>
        <v>11000</v>
      </c>
      <c r="O23" s="141">
        <f t="shared" si="1"/>
        <v>11000</v>
      </c>
      <c r="P23" s="141">
        <f t="shared" si="1"/>
        <v>11000</v>
      </c>
      <c r="Q23" s="141">
        <f t="shared" si="1"/>
        <v>132000</v>
      </c>
      <c r="R23" s="141">
        <f t="shared" si="1"/>
        <v>140000</v>
      </c>
      <c r="S23" s="141">
        <f t="shared" si="1"/>
        <v>145000</v>
      </c>
    </row>
    <row r="24" spans="2:19" x14ac:dyDescent="0.3">
      <c r="B24" s="323" t="s">
        <v>100</v>
      </c>
      <c r="C24" s="324"/>
      <c r="D24" s="218" t="s">
        <v>16</v>
      </c>
      <c r="E24" s="219">
        <f>'Prog. ch. fixe'!D36</f>
        <v>7126.7699999999995</v>
      </c>
      <c r="F24" s="219">
        <f>'Prog. ch. fixe'!E36</f>
        <v>8001.42</v>
      </c>
      <c r="G24" s="219">
        <f>'Prog. ch. fixe'!F36</f>
        <v>8001.42</v>
      </c>
      <c r="H24" s="219">
        <f>'Prog. ch. fixe'!G36</f>
        <v>11295.689999999999</v>
      </c>
      <c r="I24" s="219">
        <f>'Prog. ch. fixe'!H36</f>
        <v>11295.689999999999</v>
      </c>
      <c r="J24" s="219">
        <f>'Prog. ch. fixe'!I36</f>
        <v>11295.689999999999</v>
      </c>
      <c r="K24" s="219">
        <f>'Prog. ch. fixe'!J36</f>
        <v>11295.689999999999</v>
      </c>
      <c r="L24" s="219">
        <f>'Prog. ch. fixe'!K36</f>
        <v>11295.689999999999</v>
      </c>
      <c r="M24" s="219">
        <f>'Prog. ch. fixe'!L36</f>
        <v>11295.689999999999</v>
      </c>
      <c r="N24" s="219">
        <f>'Prog. ch. fixe'!M36</f>
        <v>11295.689999999999</v>
      </c>
      <c r="O24" s="219">
        <f>'Prog. ch. fixe'!N36</f>
        <v>11295.689999999999</v>
      </c>
      <c r="P24" s="219">
        <f>'Prog. ch. fixe'!O36</f>
        <v>11295.689999999999</v>
      </c>
      <c r="Q24" s="219">
        <f>'Prog. ch. fixe'!P36</f>
        <v>124790.82</v>
      </c>
      <c r="R24" s="219">
        <f>'Prog. ch. fixe'!R36</f>
        <v>134673.63</v>
      </c>
      <c r="S24" s="219">
        <f>'Prog. ch. fixe'!T36</f>
        <v>134673.63</v>
      </c>
    </row>
    <row r="25" spans="2:19" x14ac:dyDescent="0.3">
      <c r="B25" s="321" t="s">
        <v>101</v>
      </c>
      <c r="C25" s="322"/>
      <c r="D25" s="120" t="s">
        <v>16</v>
      </c>
      <c r="E25" s="141">
        <f>E23-E24</f>
        <v>3873.2300000000005</v>
      </c>
      <c r="F25" s="141">
        <f t="shared" ref="F25:S25" si="2">F23-F24</f>
        <v>2998.58</v>
      </c>
      <c r="G25" s="141">
        <f t="shared" si="2"/>
        <v>2998.58</v>
      </c>
      <c r="H25" s="141">
        <f t="shared" si="2"/>
        <v>-295.68999999999869</v>
      </c>
      <c r="I25" s="141">
        <f t="shared" si="2"/>
        <v>-295.68999999999869</v>
      </c>
      <c r="J25" s="141">
        <f t="shared" si="2"/>
        <v>-295.68999999999869</v>
      </c>
      <c r="K25" s="141">
        <f t="shared" si="2"/>
        <v>-295.68999999999869</v>
      </c>
      <c r="L25" s="141">
        <f t="shared" si="2"/>
        <v>-295.68999999999869</v>
      </c>
      <c r="M25" s="141">
        <f t="shared" si="2"/>
        <v>-295.68999999999869</v>
      </c>
      <c r="N25" s="141">
        <f t="shared" si="2"/>
        <v>-295.68999999999869</v>
      </c>
      <c r="O25" s="141">
        <f t="shared" si="2"/>
        <v>-295.68999999999869</v>
      </c>
      <c r="P25" s="141">
        <f t="shared" si="2"/>
        <v>-295.68999999999869</v>
      </c>
      <c r="Q25" s="141">
        <f t="shared" si="2"/>
        <v>7209.179999999993</v>
      </c>
      <c r="R25" s="141">
        <f t="shared" si="2"/>
        <v>5326.3699999999953</v>
      </c>
      <c r="S25" s="141">
        <f t="shared" si="2"/>
        <v>10326.369999999995</v>
      </c>
    </row>
    <row r="26" spans="2:19" x14ac:dyDescent="0.3">
      <c r="B26" s="279" t="s">
        <v>102</v>
      </c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</row>
    <row r="27" spans="2:19" x14ac:dyDescent="0.3">
      <c r="B27" s="121" t="str">
        <f t="shared" ref="B27:B35" si="3">B14</f>
        <v>Prod.│Serv. 1.</v>
      </c>
      <c r="C27" s="131"/>
      <c r="D27" s="217" t="str">
        <f>'Prog. veniturilor'!D23</f>
        <v>buc.</v>
      </c>
      <c r="E27" s="131">
        <f>IFERROR(IF(E14&lt;&gt;0,IF(AND($C14&lt;&gt;0,E14&lt;&gt;0),ROUNDUP(E$24*'Prog. veniturilor'!E46/'Break-even'!$C14,0),""),""),"")</f>
        <v>72</v>
      </c>
      <c r="F27" s="131">
        <f>IFERROR(IF(F14&lt;&gt;0,IF(AND($C14&lt;&gt;0,F14&lt;&gt;0),ROUNDUP(F$24*'Prog. veniturilor'!F46/'Break-even'!$C14,0),""),""),"")</f>
        <v>81</v>
      </c>
      <c r="G27" s="131">
        <f>IFERROR(IF(G14&lt;&gt;0,IF(AND($C14&lt;&gt;0,G14&lt;&gt;0),ROUNDUP(G$24*'Prog. veniturilor'!G46/'Break-even'!$C14,0),""),""),"")</f>
        <v>81</v>
      </c>
      <c r="H27" s="131">
        <f>IFERROR(IF(H14&lt;&gt;0,IF(AND($C14&lt;&gt;0,H14&lt;&gt;0),ROUNDUP(H$24*'Prog. veniturilor'!H46/'Break-even'!$C14,0),""),""),"")</f>
        <v>113</v>
      </c>
      <c r="I27" s="131">
        <f>IFERROR(IF(I14&lt;&gt;0,IF(AND($C14&lt;&gt;0,I14&lt;&gt;0),ROUNDUP(I$24*'Prog. veniturilor'!I46/'Break-even'!$C14,0),""),""),"")</f>
        <v>113</v>
      </c>
      <c r="J27" s="131">
        <f>IFERROR(IF(J14&lt;&gt;0,IF(AND($C14&lt;&gt;0,J14&lt;&gt;0),ROUNDUP(J$24*'Prog. veniturilor'!J46/'Break-even'!$C14,0),""),""),"")</f>
        <v>113</v>
      </c>
      <c r="K27" s="131">
        <f>IFERROR(IF(K14&lt;&gt;0,IF(AND($C14&lt;&gt;0,K14&lt;&gt;0),ROUNDUP(K$24*'Prog. veniturilor'!K46/'Break-even'!$C14,0),""),""),"")</f>
        <v>113</v>
      </c>
      <c r="L27" s="131">
        <f>IFERROR(IF(L14&lt;&gt;0,IF(AND($C14&lt;&gt;0,L14&lt;&gt;0),ROUNDUP(L$24*'Prog. veniturilor'!L46/'Break-even'!$C14,0),""),""),"")</f>
        <v>113</v>
      </c>
      <c r="M27" s="131">
        <f>IFERROR(IF(M14&lt;&gt;0,IF(AND($C14&lt;&gt;0,M14&lt;&gt;0),ROUNDUP(M$24*'Prog. veniturilor'!M46/'Break-even'!$C14,0),""),""),"")</f>
        <v>113</v>
      </c>
      <c r="N27" s="131">
        <f>IFERROR(IF(N14&lt;&gt;0,IF(AND($C14&lt;&gt;0,N14&lt;&gt;0),ROUNDUP(N$24*'Prog. veniturilor'!N46/'Break-even'!$C14,0),""),""),"")</f>
        <v>113</v>
      </c>
      <c r="O27" s="131">
        <f>IFERROR(IF(O14&lt;&gt;0,IF(AND($C14&lt;&gt;0,O14&lt;&gt;0),ROUNDUP(O$24*'Prog. veniturilor'!O46/'Break-even'!$C14,0),""),""),"")</f>
        <v>113</v>
      </c>
      <c r="P27" s="131">
        <f>IFERROR(IF(P14&lt;&gt;0,IF(AND($C14&lt;&gt;0,P14&lt;&gt;0),ROUNDUP(P$24*'Prog. veniturilor'!P46/'Break-even'!$C14,0),""),""),"")</f>
        <v>113</v>
      </c>
      <c r="Q27" s="131">
        <f>IF(Q14&lt;&gt;0,IF(AND($C14&lt;&gt;0,Q14&lt;&gt;0),ROUNDUP(Q$24*'Prog. veniturilor'!Q46/'Break-even'!$C14,0),""),"")</f>
        <v>1248</v>
      </c>
      <c r="R27" s="131">
        <f>IFERROR(IF(R14&lt;&gt;0,IF(AND($C14&lt;&gt;0,R14&lt;&gt;0),ROUNDUP(R$24*'Prog. veniturilor'!R46/'Break-even'!$C14,0),""),""),"")</f>
        <v>1347</v>
      </c>
      <c r="S27" s="131">
        <f>IFERROR(IF(S14&lt;&gt;0,IF(AND($C14&lt;&gt;0,S14&lt;&gt;0),ROUNDUP(S$24*'Prog. veniturilor'!S46/'Break-even'!$C14,0),""),""),"")</f>
        <v>1347</v>
      </c>
    </row>
    <row r="28" spans="2:19" x14ac:dyDescent="0.3">
      <c r="B28" s="121" t="str">
        <f t="shared" si="3"/>
        <v>Prod.│Serv. 2.</v>
      </c>
      <c r="C28" s="131"/>
      <c r="D28" s="217">
        <f>'Prog. veniturilor'!D24</f>
        <v>0</v>
      </c>
      <c r="E28" s="131" t="str">
        <f>IFERROR(IF(E15&lt;&gt;0,IF(AND($C15&lt;&gt;0,E15&lt;&gt;0),ROUNDUP(E$24*'Prog. veniturilor'!E47/'Break-even'!$C15,0),""),""),"")</f>
        <v/>
      </c>
      <c r="F28" s="131" t="str">
        <f>IFERROR(IF(F15&lt;&gt;0,IF(AND($C15&lt;&gt;0,F15&lt;&gt;0),ROUNDUP(F$24*'Prog. veniturilor'!F47/'Break-even'!$C15,0),""),""),"")</f>
        <v/>
      </c>
      <c r="G28" s="131" t="str">
        <f>IFERROR(IF(G15&lt;&gt;0,IF(AND($C15&lt;&gt;0,G15&lt;&gt;0),ROUNDUP(G$24*'Prog. veniturilor'!G47/'Break-even'!$C15,0),""),""),"")</f>
        <v/>
      </c>
      <c r="H28" s="131" t="str">
        <f>IFERROR(IF(H15&lt;&gt;0,IF(AND($C15&lt;&gt;0,H15&lt;&gt;0),ROUNDUP(H$24*'Prog. veniturilor'!H47/'Break-even'!$C15,0),""),""),"")</f>
        <v/>
      </c>
      <c r="I28" s="131" t="str">
        <f>IFERROR(IF(I15&lt;&gt;0,IF(AND($C15&lt;&gt;0,I15&lt;&gt;0),ROUNDUP(I$24*'Prog. veniturilor'!I47/'Break-even'!$C15,0),""),""),"")</f>
        <v/>
      </c>
      <c r="J28" s="131" t="str">
        <f>IFERROR(IF(J15&lt;&gt;0,IF(AND($C15&lt;&gt;0,J15&lt;&gt;0),ROUNDUP(J$24*'Prog. veniturilor'!J47/'Break-even'!$C15,0),""),""),"")</f>
        <v/>
      </c>
      <c r="K28" s="131" t="str">
        <f>IFERROR(IF(K15&lt;&gt;0,IF(AND($C15&lt;&gt;0,K15&lt;&gt;0),ROUNDUP(K$24*'Prog. veniturilor'!K47/'Break-even'!$C15,0),""),""),"")</f>
        <v/>
      </c>
      <c r="L28" s="131" t="str">
        <f>IFERROR(IF(L15&lt;&gt;0,IF(AND($C15&lt;&gt;0,L15&lt;&gt;0),ROUNDUP(L$24*'Prog. veniturilor'!L47/'Break-even'!$C15,0),""),""),"")</f>
        <v/>
      </c>
      <c r="M28" s="131" t="str">
        <f>IFERROR(IF(M15&lt;&gt;0,IF(AND($C15&lt;&gt;0,M15&lt;&gt;0),ROUNDUP(M$24*'Prog. veniturilor'!M47/'Break-even'!$C15,0),""),""),"")</f>
        <v/>
      </c>
      <c r="N28" s="131" t="str">
        <f>IFERROR(IF(N15&lt;&gt;0,IF(AND($C15&lt;&gt;0,N15&lt;&gt;0),ROUNDUP(N$24*'Prog. veniturilor'!N47/'Break-even'!$C15,0),""),""),"")</f>
        <v/>
      </c>
      <c r="O28" s="131" t="str">
        <f>IFERROR(IF(O15&lt;&gt;0,IF(AND($C15&lt;&gt;0,O15&lt;&gt;0),ROUNDUP(O$24*'Prog. veniturilor'!O47/'Break-even'!$C15,0),""),""),"")</f>
        <v/>
      </c>
      <c r="P28" s="131" t="str">
        <f>IFERROR(IF(P15&lt;&gt;0,IF(AND($C15&lt;&gt;0,P15&lt;&gt;0),ROUNDUP(P$24*'Prog. veniturilor'!P47/'Break-even'!$C15,0),""),""),"")</f>
        <v/>
      </c>
      <c r="Q28" s="131" t="str">
        <f>IF(Q15&lt;&gt;0,IF(AND($C15&lt;&gt;0,Q15&lt;&gt;0),ROUNDUP(Q$24*'Prog. veniturilor'!Q47/'Break-even'!$C15,0),""),"")</f>
        <v/>
      </c>
      <c r="R28" s="131" t="str">
        <f>IFERROR(IF(R15&lt;&gt;0,IF(AND($C15&lt;&gt;0,R15&lt;&gt;0),ROUNDUP(R$24*'Prog. veniturilor'!R47/'Break-even'!$C15,0),""),""),"")</f>
        <v/>
      </c>
      <c r="S28" s="131" t="str">
        <f>IFERROR(IF(S15&lt;&gt;0,IF(AND($C15&lt;&gt;0,S15&lt;&gt;0),ROUNDUP(S$24*'Prog. veniturilor'!S47/'Break-even'!$C15,0),""),""),"")</f>
        <v/>
      </c>
    </row>
    <row r="29" spans="2:19" x14ac:dyDescent="0.3">
      <c r="B29" s="121" t="str">
        <f t="shared" si="3"/>
        <v>Prod.│Serv. 3.</v>
      </c>
      <c r="C29" s="131"/>
      <c r="D29" s="217">
        <f>'Prog. veniturilor'!D25</f>
        <v>0</v>
      </c>
      <c r="E29" s="131" t="str">
        <f>IFERROR(IF(E16&lt;&gt;0,IF(AND($C16&lt;&gt;0,E16&lt;&gt;0),ROUNDUP(E$24*'Prog. veniturilor'!E48/'Break-even'!$C16,0),""),""),"")</f>
        <v/>
      </c>
      <c r="F29" s="131" t="str">
        <f>IFERROR(IF(F16&lt;&gt;0,IF(AND($C16&lt;&gt;0,F16&lt;&gt;0),ROUNDUP(F$24*'Prog. veniturilor'!F48/'Break-even'!$C16,0),""),""),"")</f>
        <v/>
      </c>
      <c r="G29" s="131" t="str">
        <f>IFERROR(IF(G16&lt;&gt;0,IF(AND($C16&lt;&gt;0,G16&lt;&gt;0),ROUNDUP(G$24*'Prog. veniturilor'!G48/'Break-even'!$C16,0),""),""),"")</f>
        <v/>
      </c>
      <c r="H29" s="131" t="str">
        <f>IFERROR(IF(H16&lt;&gt;0,IF(AND($C16&lt;&gt;0,H16&lt;&gt;0),ROUNDUP(H$24*'Prog. veniturilor'!H48/'Break-even'!$C16,0),""),""),"")</f>
        <v/>
      </c>
      <c r="I29" s="131" t="str">
        <f>IFERROR(IF(I16&lt;&gt;0,IF(AND($C16&lt;&gt;0,I16&lt;&gt;0),ROUNDUP(I$24*'Prog. veniturilor'!I48/'Break-even'!$C16,0),""),""),"")</f>
        <v/>
      </c>
      <c r="J29" s="131" t="str">
        <f>IFERROR(IF(J16&lt;&gt;0,IF(AND($C16&lt;&gt;0,J16&lt;&gt;0),ROUNDUP(J$24*'Prog. veniturilor'!J48/'Break-even'!$C16,0),""),""),"")</f>
        <v/>
      </c>
      <c r="K29" s="131" t="str">
        <f>IFERROR(IF(K16&lt;&gt;0,IF(AND($C16&lt;&gt;0,K16&lt;&gt;0),ROUNDUP(K$24*'Prog. veniturilor'!K48/'Break-even'!$C16,0),""),""),"")</f>
        <v/>
      </c>
      <c r="L29" s="131" t="str">
        <f>IFERROR(IF(L16&lt;&gt;0,IF(AND($C16&lt;&gt;0,L16&lt;&gt;0),ROUNDUP(L$24*'Prog. veniturilor'!L48/'Break-even'!$C16,0),""),""),"")</f>
        <v/>
      </c>
      <c r="M29" s="131" t="str">
        <f>IFERROR(IF(M16&lt;&gt;0,IF(AND($C16&lt;&gt;0,M16&lt;&gt;0),ROUNDUP(M$24*'Prog. veniturilor'!M48/'Break-even'!$C16,0),""),""),"")</f>
        <v/>
      </c>
      <c r="N29" s="131" t="str">
        <f>IFERROR(IF(N16&lt;&gt;0,IF(AND($C16&lt;&gt;0,N16&lt;&gt;0),ROUNDUP(N$24*'Prog. veniturilor'!N48/'Break-even'!$C16,0),""),""),"")</f>
        <v/>
      </c>
      <c r="O29" s="131" t="str">
        <f>IFERROR(IF(O16&lt;&gt;0,IF(AND($C16&lt;&gt;0,O16&lt;&gt;0),ROUNDUP(O$24*'Prog. veniturilor'!O48/'Break-even'!$C16,0),""),""),"")</f>
        <v/>
      </c>
      <c r="P29" s="131" t="str">
        <f>IFERROR(IF(P16&lt;&gt;0,IF(AND($C16&lt;&gt;0,P16&lt;&gt;0),ROUNDUP(P$24*'Prog. veniturilor'!P48/'Break-even'!$C16,0),""),""),"")</f>
        <v/>
      </c>
      <c r="Q29" s="131" t="str">
        <f>IF(Q16&lt;&gt;0,IF(AND($C16&lt;&gt;0,Q16&lt;&gt;0),ROUNDUP(Q$24*'Prog. veniturilor'!Q48/'Break-even'!$C16,0),""),"")</f>
        <v/>
      </c>
      <c r="R29" s="131" t="str">
        <f>IFERROR(IF(R16&lt;&gt;0,IF(AND($C16&lt;&gt;0,R16&lt;&gt;0),ROUNDUP(R$24*'Prog. veniturilor'!R48/'Break-even'!$C16,0),""),""),"")</f>
        <v/>
      </c>
      <c r="S29" s="131" t="str">
        <f>IFERROR(IF(S16&lt;&gt;0,IF(AND($C16&lt;&gt;0,S16&lt;&gt;0),ROUNDUP(S$24*'Prog. veniturilor'!S48/'Break-even'!$C16,0),""),""),"")</f>
        <v/>
      </c>
    </row>
    <row r="30" spans="2:19" x14ac:dyDescent="0.3">
      <c r="B30" s="121" t="str">
        <f t="shared" si="3"/>
        <v>Prod.│Serv. 4.</v>
      </c>
      <c r="C30" s="131"/>
      <c r="D30" s="217">
        <f>'Prog. veniturilor'!D26</f>
        <v>0</v>
      </c>
      <c r="E30" s="131" t="str">
        <f>IFERROR(IF(E17&lt;&gt;0,IF(AND($C17&lt;&gt;0,E17&lt;&gt;0),ROUNDUP(E$24*'Prog. veniturilor'!E49/'Break-even'!$C17,0),""),""),"")</f>
        <v/>
      </c>
      <c r="F30" s="131" t="str">
        <f>IFERROR(IF(F17&lt;&gt;0,IF(AND($C17&lt;&gt;0,F17&lt;&gt;0),ROUNDUP(F$24*'Prog. veniturilor'!F49/'Break-even'!$C17,0),""),""),"")</f>
        <v/>
      </c>
      <c r="G30" s="131" t="str">
        <f>IFERROR(IF(G17&lt;&gt;0,IF(AND($C17&lt;&gt;0,G17&lt;&gt;0),ROUNDUP(G$24*'Prog. veniturilor'!G49/'Break-even'!$C17,0),""),""),"")</f>
        <v/>
      </c>
      <c r="H30" s="131" t="str">
        <f>IFERROR(IF(H17&lt;&gt;0,IF(AND($C17&lt;&gt;0,H17&lt;&gt;0),ROUNDUP(H$24*'Prog. veniturilor'!H49/'Break-even'!$C17,0),""),""),"")</f>
        <v/>
      </c>
      <c r="I30" s="131" t="str">
        <f>IFERROR(IF(I17&lt;&gt;0,IF(AND($C17&lt;&gt;0,I17&lt;&gt;0),ROUNDUP(I$24*'Prog. veniturilor'!I49/'Break-even'!$C17,0),""),""),"")</f>
        <v/>
      </c>
      <c r="J30" s="131" t="str">
        <f>IFERROR(IF(J17&lt;&gt;0,IF(AND($C17&lt;&gt;0,J17&lt;&gt;0),ROUNDUP(J$24*'Prog. veniturilor'!J49/'Break-even'!$C17,0),""),""),"")</f>
        <v/>
      </c>
      <c r="K30" s="131" t="str">
        <f>IFERROR(IF(K17&lt;&gt;0,IF(AND($C17&lt;&gt;0,K17&lt;&gt;0),ROUNDUP(K$24*'Prog. veniturilor'!K49/'Break-even'!$C17,0),""),""),"")</f>
        <v/>
      </c>
      <c r="L30" s="131" t="str">
        <f>IFERROR(IF(L17&lt;&gt;0,IF(AND($C17&lt;&gt;0,L17&lt;&gt;0),ROUNDUP(L$24*'Prog. veniturilor'!L49/'Break-even'!$C17,0),""),""),"")</f>
        <v/>
      </c>
      <c r="M30" s="131" t="str">
        <f>IFERROR(IF(M17&lt;&gt;0,IF(AND($C17&lt;&gt;0,M17&lt;&gt;0),ROUNDUP(M$24*'Prog. veniturilor'!M49/'Break-even'!$C17,0),""),""),"")</f>
        <v/>
      </c>
      <c r="N30" s="131" t="str">
        <f>IFERROR(IF(N17&lt;&gt;0,IF(AND($C17&lt;&gt;0,N17&lt;&gt;0),ROUNDUP(N$24*'Prog. veniturilor'!N49/'Break-even'!$C17,0),""),""),"")</f>
        <v/>
      </c>
      <c r="O30" s="131" t="str">
        <f>IFERROR(IF(O17&lt;&gt;0,IF(AND($C17&lt;&gt;0,O17&lt;&gt;0),ROUNDUP(O$24*'Prog. veniturilor'!O49/'Break-even'!$C17,0),""),""),"")</f>
        <v/>
      </c>
      <c r="P30" s="131" t="str">
        <f>IFERROR(IF(P17&lt;&gt;0,IF(AND($C17&lt;&gt;0,P17&lt;&gt;0),ROUNDUP(P$24*'Prog. veniturilor'!P49/'Break-even'!$C17,0),""),""),"")</f>
        <v/>
      </c>
      <c r="Q30" s="131" t="str">
        <f>IF(Q17&lt;&gt;0,IF(AND($C17&lt;&gt;0,Q17&lt;&gt;0),ROUNDUP(Q$24*'Prog. veniturilor'!Q49/'Break-even'!$C17,0),""),"")</f>
        <v/>
      </c>
      <c r="R30" s="131" t="str">
        <f>IFERROR(IF(R17&lt;&gt;0,IF(AND($C17&lt;&gt;0,R17&lt;&gt;0),ROUNDUP(R$24*'Prog. veniturilor'!R49/'Break-even'!$C17,0),""),""),"")</f>
        <v/>
      </c>
      <c r="S30" s="131" t="str">
        <f>IFERROR(IF(S17&lt;&gt;0,IF(AND($C17&lt;&gt;0,S17&lt;&gt;0),ROUNDUP(S$24*'Prog. veniturilor'!S49/'Break-even'!$C17,0),""),""),"")</f>
        <v/>
      </c>
    </row>
    <row r="31" spans="2:19" x14ac:dyDescent="0.3">
      <c r="B31" s="121" t="str">
        <f t="shared" si="3"/>
        <v>Prod.│Serv. 5.</v>
      </c>
      <c r="C31" s="131"/>
      <c r="D31" s="217">
        <f>'Prog. veniturilor'!D27</f>
        <v>0</v>
      </c>
      <c r="E31" s="131" t="str">
        <f>IFERROR(IF(E18&lt;&gt;0,IF(AND($C18&lt;&gt;0,E18&lt;&gt;0),ROUNDUP(E$24*'Prog. veniturilor'!E50/'Break-even'!$C18,0),""),""),"")</f>
        <v/>
      </c>
      <c r="F31" s="131" t="str">
        <f>IFERROR(IF(F18&lt;&gt;0,IF(AND($C18&lt;&gt;0,F18&lt;&gt;0),ROUNDUP(F$24*'Prog. veniturilor'!F50/'Break-even'!$C18,0),""),""),"")</f>
        <v/>
      </c>
      <c r="G31" s="131" t="str">
        <f>IFERROR(IF(G18&lt;&gt;0,IF(AND($C18&lt;&gt;0,G18&lt;&gt;0),ROUNDUP(G$24*'Prog. veniturilor'!G50/'Break-even'!$C18,0),""),""),"")</f>
        <v/>
      </c>
      <c r="H31" s="131" t="str">
        <f>IFERROR(IF(H18&lt;&gt;0,IF(AND($C18&lt;&gt;0,H18&lt;&gt;0),ROUNDUP(H$24*'Prog. veniturilor'!H50/'Break-even'!$C18,0),""),""),"")</f>
        <v/>
      </c>
      <c r="I31" s="131" t="str">
        <f>IFERROR(IF(I18&lt;&gt;0,IF(AND($C18&lt;&gt;0,I18&lt;&gt;0),ROUNDUP(I$24*'Prog. veniturilor'!I50/'Break-even'!$C18,0),""),""),"")</f>
        <v/>
      </c>
      <c r="J31" s="131" t="str">
        <f>IFERROR(IF(J18&lt;&gt;0,IF(AND($C18&lt;&gt;0,J18&lt;&gt;0),ROUNDUP(J$24*'Prog. veniturilor'!J50/'Break-even'!$C18,0),""),""),"")</f>
        <v/>
      </c>
      <c r="K31" s="131" t="str">
        <f>IFERROR(IF(K18&lt;&gt;0,IF(AND($C18&lt;&gt;0,K18&lt;&gt;0),ROUNDUP(K$24*'Prog. veniturilor'!K50/'Break-even'!$C18,0),""),""),"")</f>
        <v/>
      </c>
      <c r="L31" s="131" t="str">
        <f>IFERROR(IF(L18&lt;&gt;0,IF(AND($C18&lt;&gt;0,L18&lt;&gt;0),ROUNDUP(L$24*'Prog. veniturilor'!L50/'Break-even'!$C18,0),""),""),"")</f>
        <v/>
      </c>
      <c r="M31" s="131" t="str">
        <f>IFERROR(IF(M18&lt;&gt;0,IF(AND($C18&lt;&gt;0,M18&lt;&gt;0),ROUNDUP(M$24*'Prog. veniturilor'!M50/'Break-even'!$C18,0),""),""),"")</f>
        <v/>
      </c>
      <c r="N31" s="131" t="str">
        <f>IFERROR(IF(N18&lt;&gt;0,IF(AND($C18&lt;&gt;0,N18&lt;&gt;0),ROUNDUP(N$24*'Prog. veniturilor'!N50/'Break-even'!$C18,0),""),""),"")</f>
        <v/>
      </c>
      <c r="O31" s="131" t="str">
        <f>IFERROR(IF(O18&lt;&gt;0,IF(AND($C18&lt;&gt;0,O18&lt;&gt;0),ROUNDUP(O$24*'Prog. veniturilor'!O50/'Break-even'!$C18,0),""),""),"")</f>
        <v/>
      </c>
      <c r="P31" s="131" t="str">
        <f>IFERROR(IF(P18&lt;&gt;0,IF(AND($C18&lt;&gt;0,P18&lt;&gt;0),ROUNDUP(P$24*'Prog. veniturilor'!P50/'Break-even'!$C18,0),""),""),"")</f>
        <v/>
      </c>
      <c r="Q31" s="131" t="str">
        <f>IF(Q18&lt;&gt;0,IF(AND($C18&lt;&gt;0,Q18&lt;&gt;0),ROUNDUP(Q$24*'Prog. veniturilor'!Q50/'Break-even'!$C18,0),""),"")</f>
        <v/>
      </c>
      <c r="R31" s="131" t="str">
        <f>IFERROR(IF(R18&lt;&gt;0,IF(AND($C18&lt;&gt;0,R18&lt;&gt;0),ROUNDUP(R$24*'Prog. veniturilor'!R50/'Break-even'!$C18,0),""),""),"")</f>
        <v/>
      </c>
      <c r="S31" s="131" t="str">
        <f>IFERROR(IF(S18&lt;&gt;0,IF(AND($C18&lt;&gt;0,S18&lt;&gt;0),ROUNDUP(S$24*'Prog. veniturilor'!S50/'Break-even'!$C18,0),""),""),"")</f>
        <v/>
      </c>
    </row>
    <row r="32" spans="2:19" x14ac:dyDescent="0.3">
      <c r="B32" s="121" t="str">
        <f t="shared" si="3"/>
        <v>Prod.│Serv. 6.</v>
      </c>
      <c r="C32" s="131"/>
      <c r="D32" s="217">
        <f>'Prog. veniturilor'!D28</f>
        <v>0</v>
      </c>
      <c r="E32" s="131" t="str">
        <f>IFERROR(IF(E19&lt;&gt;0,IF(AND($C19&lt;&gt;0,E19&lt;&gt;0),ROUNDUP(E$24*'Prog. veniturilor'!E51/'Break-even'!$C19,0),""),""),"")</f>
        <v/>
      </c>
      <c r="F32" s="131" t="str">
        <f>IFERROR(IF(F19&lt;&gt;0,IF(AND($C19&lt;&gt;0,F19&lt;&gt;0),ROUNDUP(F$24*'Prog. veniturilor'!F51/'Break-even'!$C19,0),""),""),"")</f>
        <v/>
      </c>
      <c r="G32" s="131" t="str">
        <f>IFERROR(IF(G19&lt;&gt;0,IF(AND($C19&lt;&gt;0,G19&lt;&gt;0),ROUNDUP(G$24*'Prog. veniturilor'!G51/'Break-even'!$C19,0),""),""),"")</f>
        <v/>
      </c>
      <c r="H32" s="131" t="str">
        <f>IFERROR(IF(H19&lt;&gt;0,IF(AND($C19&lt;&gt;0,H19&lt;&gt;0),ROUNDUP(H$24*'Prog. veniturilor'!H51/'Break-even'!$C19,0),""),""),"")</f>
        <v/>
      </c>
      <c r="I32" s="131" t="str">
        <f>IFERROR(IF(I19&lt;&gt;0,IF(AND($C19&lt;&gt;0,I19&lt;&gt;0),ROUNDUP(I$24*'Prog. veniturilor'!I51/'Break-even'!$C19,0),""),""),"")</f>
        <v/>
      </c>
      <c r="J32" s="131" t="str">
        <f>IFERROR(IF(J19&lt;&gt;0,IF(AND($C19&lt;&gt;0,J19&lt;&gt;0),ROUNDUP(J$24*'Prog. veniturilor'!J51/'Break-even'!$C19,0),""),""),"")</f>
        <v/>
      </c>
      <c r="K32" s="131" t="str">
        <f>IFERROR(IF(K19&lt;&gt;0,IF(AND($C19&lt;&gt;0,K19&lt;&gt;0),ROUNDUP(K$24*'Prog. veniturilor'!K51/'Break-even'!$C19,0),""),""),"")</f>
        <v/>
      </c>
      <c r="L32" s="131" t="str">
        <f>IFERROR(IF(L19&lt;&gt;0,IF(AND($C19&lt;&gt;0,L19&lt;&gt;0),ROUNDUP(L$24*'Prog. veniturilor'!L51/'Break-even'!$C19,0),""),""),"")</f>
        <v/>
      </c>
      <c r="M32" s="131" t="str">
        <f>IFERROR(IF(M19&lt;&gt;0,IF(AND($C19&lt;&gt;0,M19&lt;&gt;0),ROUNDUP(M$24*'Prog. veniturilor'!M51/'Break-even'!$C19,0),""),""),"")</f>
        <v/>
      </c>
      <c r="N32" s="131" t="str">
        <f>IFERROR(IF(N19&lt;&gt;0,IF(AND($C19&lt;&gt;0,N19&lt;&gt;0),ROUNDUP(N$24*'Prog. veniturilor'!N51/'Break-even'!$C19,0),""),""),"")</f>
        <v/>
      </c>
      <c r="O32" s="131" t="str">
        <f>IFERROR(IF(O19&lt;&gt;0,IF(AND($C19&lt;&gt;0,O19&lt;&gt;0),ROUNDUP(O$24*'Prog. veniturilor'!O51/'Break-even'!$C19,0),""),""),"")</f>
        <v/>
      </c>
      <c r="P32" s="131" t="str">
        <f>IFERROR(IF(P19&lt;&gt;0,IF(AND($C19&lt;&gt;0,P19&lt;&gt;0),ROUNDUP(P$24*'Prog. veniturilor'!P51/'Break-even'!$C19,0),""),""),"")</f>
        <v/>
      </c>
      <c r="Q32" s="131" t="str">
        <f>IF(Q19&lt;&gt;0,IF(AND($C19&lt;&gt;0,Q19&lt;&gt;0),ROUNDUP(Q$24*'Prog. veniturilor'!Q51/'Break-even'!$C19,0),""),"")</f>
        <v/>
      </c>
      <c r="R32" s="131" t="str">
        <f>IFERROR(IF(R19&lt;&gt;0,IF(AND($C19&lt;&gt;0,R19&lt;&gt;0),ROUNDUP(R$24*'Prog. veniturilor'!R51/'Break-even'!$C19,0),""),""),"")</f>
        <v/>
      </c>
      <c r="S32" s="131" t="str">
        <f>IFERROR(IF(S19&lt;&gt;0,IF(AND($C19&lt;&gt;0,S19&lt;&gt;0),ROUNDUP(S$24*'Prog. veniturilor'!S51/'Break-even'!$C19,0),""),""),"")</f>
        <v/>
      </c>
    </row>
    <row r="33" spans="2:19" x14ac:dyDescent="0.3">
      <c r="B33" s="121" t="str">
        <f t="shared" si="3"/>
        <v>Prod.│Serv. 7.</v>
      </c>
      <c r="C33" s="131"/>
      <c r="D33" s="217">
        <f>'Prog. veniturilor'!D29</f>
        <v>0</v>
      </c>
      <c r="E33" s="131" t="str">
        <f>IFERROR(IF(E20&lt;&gt;0,IF(AND($C20&lt;&gt;0,E20&lt;&gt;0),ROUNDUP(E$24*'Prog. veniturilor'!E52/'Break-even'!$C20,0),""),""),"")</f>
        <v/>
      </c>
      <c r="F33" s="131" t="str">
        <f>IFERROR(IF(F20&lt;&gt;0,IF(AND($C20&lt;&gt;0,F20&lt;&gt;0),ROUNDUP(F$24*'Prog. veniturilor'!F52/'Break-even'!$C20,0),""),""),"")</f>
        <v/>
      </c>
      <c r="G33" s="131" t="str">
        <f>IFERROR(IF(G20&lt;&gt;0,IF(AND($C20&lt;&gt;0,G20&lt;&gt;0),ROUNDUP(G$24*'Prog. veniturilor'!G52/'Break-even'!$C20,0),""),""),"")</f>
        <v/>
      </c>
      <c r="H33" s="131" t="str">
        <f>IFERROR(IF(H20&lt;&gt;0,IF(AND($C20&lt;&gt;0,H20&lt;&gt;0),ROUNDUP(H$24*'Prog. veniturilor'!H52/'Break-even'!$C20,0),""),""),"")</f>
        <v/>
      </c>
      <c r="I33" s="131" t="str">
        <f>IFERROR(IF(I20&lt;&gt;0,IF(AND($C20&lt;&gt;0,I20&lt;&gt;0),ROUNDUP(I$24*'Prog. veniturilor'!I52/'Break-even'!$C20,0),""),""),"")</f>
        <v/>
      </c>
      <c r="J33" s="131" t="str">
        <f>IFERROR(IF(J20&lt;&gt;0,IF(AND($C20&lt;&gt;0,J20&lt;&gt;0),ROUNDUP(J$24*'Prog. veniturilor'!J52/'Break-even'!$C20,0),""),""),"")</f>
        <v/>
      </c>
      <c r="K33" s="131" t="str">
        <f>IFERROR(IF(K20&lt;&gt;0,IF(AND($C20&lt;&gt;0,K20&lt;&gt;0),ROUNDUP(K$24*'Prog. veniturilor'!K52/'Break-even'!$C20,0),""),""),"")</f>
        <v/>
      </c>
      <c r="L33" s="131" t="str">
        <f>IFERROR(IF(L20&lt;&gt;0,IF(AND($C20&lt;&gt;0,L20&lt;&gt;0),ROUNDUP(L$24*'Prog. veniturilor'!L52/'Break-even'!$C20,0),""),""),"")</f>
        <v/>
      </c>
      <c r="M33" s="131" t="str">
        <f>IFERROR(IF(M20&lt;&gt;0,IF(AND($C20&lt;&gt;0,M20&lt;&gt;0),ROUNDUP(M$24*'Prog. veniturilor'!M52/'Break-even'!$C20,0),""),""),"")</f>
        <v/>
      </c>
      <c r="N33" s="131" t="str">
        <f>IFERROR(IF(N20&lt;&gt;0,IF(AND($C20&lt;&gt;0,N20&lt;&gt;0),ROUNDUP(N$24*'Prog. veniturilor'!N52/'Break-even'!$C20,0),""),""),"")</f>
        <v/>
      </c>
      <c r="O33" s="131" t="str">
        <f>IFERROR(IF(O20&lt;&gt;0,IF(AND($C20&lt;&gt;0,O20&lt;&gt;0),ROUNDUP(O$24*'Prog. veniturilor'!O52/'Break-even'!$C20,0),""),""),"")</f>
        <v/>
      </c>
      <c r="P33" s="131" t="str">
        <f>IFERROR(IF(P20&lt;&gt;0,IF(AND($C20&lt;&gt;0,P20&lt;&gt;0),ROUNDUP(P$24*'Prog. veniturilor'!P52/'Break-even'!$C20,0),""),""),"")</f>
        <v/>
      </c>
      <c r="Q33" s="131" t="str">
        <f>IF(Q20&lt;&gt;0,IF(AND($C20&lt;&gt;0,Q20&lt;&gt;0),ROUNDUP(Q$24*'Prog. veniturilor'!Q52/'Break-even'!$C20,0),""),"")</f>
        <v/>
      </c>
      <c r="R33" s="131" t="str">
        <f>IFERROR(IF(R20&lt;&gt;0,IF(AND($C20&lt;&gt;0,R20&lt;&gt;0),ROUNDUP(R$24*'Prog. veniturilor'!R52/'Break-even'!$C20,0),""),""),"")</f>
        <v/>
      </c>
      <c r="S33" s="131" t="str">
        <f>IFERROR(IF(S20&lt;&gt;0,IF(AND($C20&lt;&gt;0,S20&lt;&gt;0),ROUNDUP(S$24*'Prog. veniturilor'!S52/'Break-even'!$C20,0),""),""),"")</f>
        <v/>
      </c>
    </row>
    <row r="34" spans="2:19" x14ac:dyDescent="0.3">
      <c r="B34" s="121" t="str">
        <f t="shared" si="3"/>
        <v>Prod.│Serv. 8.</v>
      </c>
      <c r="C34" s="131"/>
      <c r="D34" s="217">
        <f>'Prog. veniturilor'!D30</f>
        <v>0</v>
      </c>
      <c r="E34" s="131" t="str">
        <f>IFERROR(IF(E21&lt;&gt;0,IF(AND($C21&lt;&gt;0,E21&lt;&gt;0),ROUNDUP(E$24*'Prog. veniturilor'!E53/'Break-even'!$C21,0),""),""),"")</f>
        <v/>
      </c>
      <c r="F34" s="131" t="str">
        <f>IFERROR(IF(F21&lt;&gt;0,IF(AND($C21&lt;&gt;0,F21&lt;&gt;0),ROUNDUP(F$24*'Prog. veniturilor'!F53/'Break-even'!$C21,0),""),""),"")</f>
        <v/>
      </c>
      <c r="G34" s="131" t="str">
        <f>IFERROR(IF(G21&lt;&gt;0,IF(AND($C21&lt;&gt;0,G21&lt;&gt;0),ROUNDUP(G$24*'Prog. veniturilor'!G53/'Break-even'!$C21,0),""),""),"")</f>
        <v/>
      </c>
      <c r="H34" s="131" t="str">
        <f>IFERROR(IF(H21&lt;&gt;0,IF(AND($C21&lt;&gt;0,H21&lt;&gt;0),ROUNDUP(H$24*'Prog. veniturilor'!H53/'Break-even'!$C21,0),""),""),"")</f>
        <v/>
      </c>
      <c r="I34" s="131" t="str">
        <f>IFERROR(IF(I21&lt;&gt;0,IF(AND($C21&lt;&gt;0,I21&lt;&gt;0),ROUNDUP(I$24*'Prog. veniturilor'!I53/'Break-even'!$C21,0),""),""),"")</f>
        <v/>
      </c>
      <c r="J34" s="131" t="str">
        <f>IFERROR(IF(J21&lt;&gt;0,IF(AND($C21&lt;&gt;0,J21&lt;&gt;0),ROUNDUP(J$24*'Prog. veniturilor'!J53/'Break-even'!$C21,0),""),""),"")</f>
        <v/>
      </c>
      <c r="K34" s="131" t="str">
        <f>IFERROR(IF(K21&lt;&gt;0,IF(AND($C21&lt;&gt;0,K21&lt;&gt;0),ROUNDUP(K$24*'Prog. veniturilor'!K53/'Break-even'!$C21,0),""),""),"")</f>
        <v/>
      </c>
      <c r="L34" s="131" t="str">
        <f>IFERROR(IF(L21&lt;&gt;0,IF(AND($C21&lt;&gt;0,L21&lt;&gt;0),ROUNDUP(L$24*'Prog. veniturilor'!L53/'Break-even'!$C21,0),""),""),"")</f>
        <v/>
      </c>
      <c r="M34" s="131" t="str">
        <f>IFERROR(IF(M21&lt;&gt;0,IF(AND($C21&lt;&gt;0,M21&lt;&gt;0),ROUNDUP(M$24*'Prog. veniturilor'!M53/'Break-even'!$C21,0),""),""),"")</f>
        <v/>
      </c>
      <c r="N34" s="131" t="str">
        <f>IFERROR(IF(N21&lt;&gt;0,IF(AND($C21&lt;&gt;0,N21&lt;&gt;0),ROUNDUP(N$24*'Prog. veniturilor'!N53/'Break-even'!$C21,0),""),""),"")</f>
        <v/>
      </c>
      <c r="O34" s="131" t="str">
        <f>IFERROR(IF(O21&lt;&gt;0,IF(AND($C21&lt;&gt;0,O21&lt;&gt;0),ROUNDUP(O$24*'Prog. veniturilor'!O53/'Break-even'!$C21,0),""),""),"")</f>
        <v/>
      </c>
      <c r="P34" s="131" t="str">
        <f>IFERROR(IF(P21&lt;&gt;0,IF(AND($C21&lt;&gt;0,P21&lt;&gt;0),ROUNDUP(P$24*'Prog. veniturilor'!P53/'Break-even'!$C21,0),""),""),"")</f>
        <v/>
      </c>
      <c r="Q34" s="131" t="str">
        <f>IF(Q21&lt;&gt;0,IF(AND($C21&lt;&gt;0,Q21&lt;&gt;0),ROUNDUP(Q$24*'Prog. veniturilor'!Q53/'Break-even'!$C21,0),""),"")</f>
        <v/>
      </c>
      <c r="R34" s="131" t="str">
        <f>IFERROR(IF(R21&lt;&gt;0,IF(AND($C21&lt;&gt;0,R21&lt;&gt;0),ROUNDUP(R$24*'Prog. veniturilor'!R53/'Break-even'!$C21,0),""),""),"")</f>
        <v/>
      </c>
      <c r="S34" s="131" t="str">
        <f>IFERROR(IF(S21&lt;&gt;0,IF(AND($C21&lt;&gt;0,S21&lt;&gt;0),ROUNDUP(S$24*'Prog. veniturilor'!S53/'Break-even'!$C21,0),""),""),"")</f>
        <v/>
      </c>
    </row>
    <row r="35" spans="2:19" x14ac:dyDescent="0.3">
      <c r="B35" s="121" t="str">
        <f t="shared" si="3"/>
        <v>Prod.│Serv. 9.</v>
      </c>
      <c r="C35" s="131"/>
      <c r="D35" s="217">
        <f>'Prog. veniturilor'!D31</f>
        <v>0</v>
      </c>
      <c r="E35" s="131" t="str">
        <f>IFERROR(IF(E22&lt;&gt;0,IF(AND($C22&lt;&gt;0,E22&lt;&gt;0),ROUNDUP(E$24*'Prog. veniturilor'!E54/'Break-even'!$C22,0),""),""),"")</f>
        <v/>
      </c>
      <c r="F35" s="131" t="str">
        <f>IFERROR(IF(F22&lt;&gt;0,IF(AND($C22&lt;&gt;0,F22&lt;&gt;0),ROUNDUP(F$24*'Prog. veniturilor'!F54/'Break-even'!$C22,0),""),""),"")</f>
        <v/>
      </c>
      <c r="G35" s="131" t="str">
        <f>IFERROR(IF(G22&lt;&gt;0,IF(AND($C22&lt;&gt;0,G22&lt;&gt;0),ROUNDUP(G$24*'Prog. veniturilor'!G54/'Break-even'!$C22,0),""),""),"")</f>
        <v/>
      </c>
      <c r="H35" s="131" t="str">
        <f>IFERROR(IF(H22&lt;&gt;0,IF(AND($C22&lt;&gt;0,H22&lt;&gt;0),ROUNDUP(H$24*'Prog. veniturilor'!H54/'Break-even'!$C22,0),""),""),"")</f>
        <v/>
      </c>
      <c r="I35" s="131" t="str">
        <f>IFERROR(IF(I22&lt;&gt;0,IF(AND($C22&lt;&gt;0,I22&lt;&gt;0),ROUNDUP(I$24*'Prog. veniturilor'!I54/'Break-even'!$C22,0),""),""),"")</f>
        <v/>
      </c>
      <c r="J35" s="131" t="str">
        <f>IFERROR(IF(J22&lt;&gt;0,IF(AND($C22&lt;&gt;0,J22&lt;&gt;0),ROUNDUP(J$24*'Prog. veniturilor'!J54/'Break-even'!$C22,0),""),""),"")</f>
        <v/>
      </c>
      <c r="K35" s="131" t="str">
        <f>IFERROR(IF(K22&lt;&gt;0,IF(AND($C22&lt;&gt;0,K22&lt;&gt;0),ROUNDUP(K$24*'Prog. veniturilor'!K54/'Break-even'!$C22,0),""),""),"")</f>
        <v/>
      </c>
      <c r="L35" s="131" t="str">
        <f>IFERROR(IF(L22&lt;&gt;0,IF(AND($C22&lt;&gt;0,L22&lt;&gt;0),ROUNDUP(L$24*'Prog. veniturilor'!L54/'Break-even'!$C22,0),""),""),"")</f>
        <v/>
      </c>
      <c r="M35" s="131" t="str">
        <f>IFERROR(IF(M22&lt;&gt;0,IF(AND($C22&lt;&gt;0,M22&lt;&gt;0),ROUNDUP(M$24*'Prog. veniturilor'!M54/'Break-even'!$C22,0),""),""),"")</f>
        <v/>
      </c>
      <c r="N35" s="131" t="str">
        <f>IFERROR(IF(N22&lt;&gt;0,IF(AND($C22&lt;&gt;0,N22&lt;&gt;0),ROUNDUP(N$24*'Prog. veniturilor'!N54/'Break-even'!$C22,0),""),""),"")</f>
        <v/>
      </c>
      <c r="O35" s="131" t="str">
        <f>IFERROR(IF(O22&lt;&gt;0,IF(AND($C22&lt;&gt;0,O22&lt;&gt;0),ROUNDUP(O$24*'Prog. veniturilor'!O54/'Break-even'!$C22,0),""),""),"")</f>
        <v/>
      </c>
      <c r="P35" s="131" t="str">
        <f>IFERROR(IF(P22&lt;&gt;0,IF(AND($C22&lt;&gt;0,P22&lt;&gt;0),ROUNDUP(P$24*'Prog. veniturilor'!P54/'Break-even'!$C22,0),""),""),"")</f>
        <v/>
      </c>
      <c r="Q35" s="131" t="str">
        <f>IF(Q22&lt;&gt;0,IF(AND($C22&lt;&gt;0,Q22&lt;&gt;0),ROUNDUP(Q$24*'Prog. veniturilor'!Q54/'Break-even'!$C22,0),""),"")</f>
        <v/>
      </c>
      <c r="R35" s="131" t="str">
        <f>IFERROR(IF(R22&lt;&gt;0,IF(AND($C22&lt;&gt;0,R22&lt;&gt;0),ROUNDUP(R$24*'Prog. veniturilor'!R54/'Break-even'!$C22,0),""),""),"")</f>
        <v/>
      </c>
      <c r="S35" s="131" t="str">
        <f>IFERROR(IF(S22&lt;&gt;0,IF(AND($C22&lt;&gt;0,S22&lt;&gt;0),ROUNDUP(S$24*'Prog. veniturilor'!S54/'Break-even'!$C22,0),""),""),"")</f>
        <v/>
      </c>
    </row>
    <row r="36" spans="2:19" x14ac:dyDescent="0.3">
      <c r="B36" s="279" t="s">
        <v>104</v>
      </c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</row>
    <row r="37" spans="2:19" x14ac:dyDescent="0.3">
      <c r="B37" s="121" t="str">
        <f>B14</f>
        <v>Prod.│Serv. 1.</v>
      </c>
      <c r="C37" s="131"/>
      <c r="D37" s="217" t="s">
        <v>90</v>
      </c>
      <c r="E37" s="212">
        <f>IFERROR(IF(E14&lt;&gt;0,IF(E27&lt;&gt;"",'Prog. veniturilor'!E23/'Break-even'!E27-1,""),""),"")</f>
        <v>0.52777777777777768</v>
      </c>
      <c r="F37" s="212">
        <f>IFERROR(IF(F14&lt;&gt;0,IF(F27&lt;&gt;"",'Prog. veniturilor'!F23/'Break-even'!F27-1,""),""),"")</f>
        <v>0.35802469135802473</v>
      </c>
      <c r="G37" s="212">
        <f>IFERROR(IF(G14&lt;&gt;0,IF(G27&lt;&gt;"",'Prog. veniturilor'!G23/'Break-even'!G27-1,""),""),"")</f>
        <v>0.35802469135802473</v>
      </c>
      <c r="H37" s="212">
        <f>IFERROR(IF(H14&lt;&gt;0,IF(H27&lt;&gt;"",'Prog. veniturilor'!H23/'Break-even'!H27-1,""),""),"")</f>
        <v>-2.6548672566371723E-2</v>
      </c>
      <c r="I37" s="212">
        <f>IFERROR(IF(I14&lt;&gt;0,IF(I27&lt;&gt;"",'Prog. veniturilor'!I23/'Break-even'!I27-1,""),""),"")</f>
        <v>-2.6548672566371723E-2</v>
      </c>
      <c r="J37" s="212">
        <f>IFERROR(IF(J14&lt;&gt;0,IF(J27&lt;&gt;"",'Prog. veniturilor'!J23/'Break-even'!J27-1,""),""),"")</f>
        <v>-2.6548672566371723E-2</v>
      </c>
      <c r="K37" s="212">
        <f>IFERROR(IF(K14&lt;&gt;0,IF(K27&lt;&gt;"",'Prog. veniturilor'!K23/'Break-even'!K27-1,""),""),"")</f>
        <v>-2.6548672566371723E-2</v>
      </c>
      <c r="L37" s="212">
        <f>IFERROR(IF(L14&lt;&gt;0,IF(L27&lt;&gt;"",'Prog. veniturilor'!L23/'Break-even'!L27-1,""),""),"")</f>
        <v>-2.6548672566371723E-2</v>
      </c>
      <c r="M37" s="212">
        <f>IFERROR(IF(M14&lt;&gt;0,IF(M27&lt;&gt;"",'Prog. veniturilor'!M23/'Break-even'!M27-1,""),""),"")</f>
        <v>-2.6548672566371723E-2</v>
      </c>
      <c r="N37" s="212">
        <f>IFERROR(IF(N14&lt;&gt;0,IF(N27&lt;&gt;"",'Prog. veniturilor'!N23/'Break-even'!N27-1,""),""),"")</f>
        <v>-2.6548672566371723E-2</v>
      </c>
      <c r="O37" s="212">
        <f>IFERROR(IF(O14&lt;&gt;0,IF(O27&lt;&gt;"",'Prog. veniturilor'!O23/'Break-even'!O27-1,""),""),"")</f>
        <v>-2.6548672566371723E-2</v>
      </c>
      <c r="P37" s="212">
        <f>IFERROR(IF(P14&lt;&gt;0,IF(P27&lt;&gt;"",'Prog. veniturilor'!P23/'Break-even'!P27-1,""),""),"")</f>
        <v>-2.6548672566371723E-2</v>
      </c>
      <c r="Q37" s="212">
        <f>IFERROR(IF(Q14&lt;&gt;0,IF(Q27&lt;&gt;"",'Prog. veniturilor'!Q23/'Break-even'!Q27-1,""),""),"")</f>
        <v>5.7692307692307709E-2</v>
      </c>
      <c r="R37" s="212">
        <f>IFERROR(IF(R14&lt;&gt;0,IF(R27&lt;&gt;"",'Prog. veniturilor'!R23/'Break-even'!R27-1,""),""),"")</f>
        <v>3.9346696362286604E-2</v>
      </c>
      <c r="S37" s="212">
        <f>IFERROR(IF(S14&lt;&gt;0,IF(S27&lt;&gt;"",'Prog. veniturilor'!S23/'Break-even'!S27-1,""),""),"")</f>
        <v>7.6466221232368126E-2</v>
      </c>
    </row>
    <row r="38" spans="2:19" x14ac:dyDescent="0.3">
      <c r="B38" s="121" t="str">
        <f t="shared" ref="B38:B45" si="4">B15</f>
        <v>Prod.│Serv. 2.</v>
      </c>
      <c r="C38" s="131"/>
      <c r="D38" s="217" t="s">
        <v>90</v>
      </c>
      <c r="E38" s="212" t="str">
        <f>IFERROR(IF(E15&lt;&gt;0,IF(E28&lt;&gt;"",'Prog. veniturilor'!E24/'Break-even'!E28-1,""),""),"")</f>
        <v/>
      </c>
      <c r="F38" s="212" t="str">
        <f>IFERROR(IF(F15&lt;&gt;0,IF(F28&lt;&gt;"",'Prog. veniturilor'!F24/'Break-even'!F28-1,""),""),"")</f>
        <v/>
      </c>
      <c r="G38" s="212" t="str">
        <f>IFERROR(IF(G15&lt;&gt;0,IF(G28&lt;&gt;"",'Prog. veniturilor'!G24/'Break-even'!G28-1,""),""),"")</f>
        <v/>
      </c>
      <c r="H38" s="212" t="str">
        <f>IFERROR(IF(H15&lt;&gt;0,IF(H28&lt;&gt;"",'Prog. veniturilor'!H24/'Break-even'!H28-1,""),""),"")</f>
        <v/>
      </c>
      <c r="I38" s="212" t="str">
        <f>IFERROR(IF(I15&lt;&gt;0,IF(I28&lt;&gt;"",'Prog. veniturilor'!I24/'Break-even'!I28-1,""),""),"")</f>
        <v/>
      </c>
      <c r="J38" s="212" t="str">
        <f>IFERROR(IF(J15&lt;&gt;0,IF(J28&lt;&gt;"",'Prog. veniturilor'!J24/'Break-even'!J28-1,""),""),"")</f>
        <v/>
      </c>
      <c r="K38" s="212" t="str">
        <f>IFERROR(IF(K15&lt;&gt;0,IF(K28&lt;&gt;"",'Prog. veniturilor'!K24/'Break-even'!K28-1,""),""),"")</f>
        <v/>
      </c>
      <c r="L38" s="212" t="str">
        <f>IFERROR(IF(L15&lt;&gt;0,IF(L28&lt;&gt;"",'Prog. veniturilor'!L24/'Break-even'!L28-1,""),""),"")</f>
        <v/>
      </c>
      <c r="M38" s="212" t="str">
        <f>IFERROR(IF(M15&lt;&gt;0,IF(M28&lt;&gt;"",'Prog. veniturilor'!M24/'Break-even'!M28-1,""),""),"")</f>
        <v/>
      </c>
      <c r="N38" s="212" t="str">
        <f>IFERROR(IF(N15&lt;&gt;0,IF(N28&lt;&gt;"",'Prog. veniturilor'!N24/'Break-even'!N28-1,""),""),"")</f>
        <v/>
      </c>
      <c r="O38" s="212" t="str">
        <f>IFERROR(IF(O15&lt;&gt;0,IF(O28&lt;&gt;"",'Prog. veniturilor'!O24/'Break-even'!O28-1,""),""),"")</f>
        <v/>
      </c>
      <c r="P38" s="212" t="str">
        <f>IFERROR(IF(P15&lt;&gt;0,IF(P28&lt;&gt;"",'Prog. veniturilor'!P24/'Break-even'!P28-1,""),""),"")</f>
        <v/>
      </c>
      <c r="Q38" s="212" t="str">
        <f>IFERROR(IF(Q15&lt;&gt;0,IF(Q28&lt;&gt;"",'Prog. veniturilor'!Q24/'Break-even'!Q28-1,""),""),"")</f>
        <v/>
      </c>
      <c r="R38" s="212" t="str">
        <f>IFERROR(IF(R15&lt;&gt;0,IF(R28&lt;&gt;"",'Prog. veniturilor'!R24/'Break-even'!R28-1,""),""),"")</f>
        <v/>
      </c>
      <c r="S38" s="212" t="str">
        <f>IFERROR(IF(S15&lt;&gt;0,IF(S28&lt;&gt;"",'Prog. veniturilor'!S24/'Break-even'!S28-1,""),""),"")</f>
        <v/>
      </c>
    </row>
    <row r="39" spans="2:19" x14ac:dyDescent="0.3">
      <c r="B39" s="121" t="str">
        <f t="shared" si="4"/>
        <v>Prod.│Serv. 3.</v>
      </c>
      <c r="C39" s="131"/>
      <c r="D39" s="217" t="s">
        <v>90</v>
      </c>
      <c r="E39" s="212" t="str">
        <f>IFERROR(IF(E16&lt;&gt;0,IF(E29&lt;&gt;"",'Prog. veniturilor'!E25/'Break-even'!E29-1,""),""),"")</f>
        <v/>
      </c>
      <c r="F39" s="212" t="str">
        <f>IFERROR(IF(F16&lt;&gt;0,IF(F29&lt;&gt;"",'Prog. veniturilor'!F25/'Break-even'!F29-1,""),""),"")</f>
        <v/>
      </c>
      <c r="G39" s="212" t="str">
        <f>IFERROR(IF(G16&lt;&gt;0,IF(G29&lt;&gt;"",'Prog. veniturilor'!G25/'Break-even'!G29-1,""),""),"")</f>
        <v/>
      </c>
      <c r="H39" s="212" t="str">
        <f>IFERROR(IF(H16&lt;&gt;0,IF(H29&lt;&gt;"",'Prog. veniturilor'!H25/'Break-even'!H29-1,""),""),"")</f>
        <v/>
      </c>
      <c r="I39" s="212" t="str">
        <f>IFERROR(IF(I16&lt;&gt;0,IF(I29&lt;&gt;"",'Prog. veniturilor'!I25/'Break-even'!I29-1,""),""),"")</f>
        <v/>
      </c>
      <c r="J39" s="212" t="str">
        <f>IFERROR(IF(J16&lt;&gt;0,IF(J29&lt;&gt;"",'Prog. veniturilor'!J25/'Break-even'!J29-1,""),""),"")</f>
        <v/>
      </c>
      <c r="K39" s="212" t="str">
        <f>IFERROR(IF(K16&lt;&gt;0,IF(K29&lt;&gt;"",'Prog. veniturilor'!K25/'Break-even'!K29-1,""),""),"")</f>
        <v/>
      </c>
      <c r="L39" s="212" t="str">
        <f>IFERROR(IF(L16&lt;&gt;0,IF(L29&lt;&gt;"",'Prog. veniturilor'!L25/'Break-even'!L29-1,""),""),"")</f>
        <v/>
      </c>
      <c r="M39" s="212" t="str">
        <f>IFERROR(IF(M16&lt;&gt;0,IF(M29&lt;&gt;"",'Prog. veniturilor'!M25/'Break-even'!M29-1,""),""),"")</f>
        <v/>
      </c>
      <c r="N39" s="212" t="str">
        <f>IFERROR(IF(N16&lt;&gt;0,IF(N29&lt;&gt;"",'Prog. veniturilor'!N25/'Break-even'!N29-1,""),""),"")</f>
        <v/>
      </c>
      <c r="O39" s="212" t="str">
        <f>IFERROR(IF(O16&lt;&gt;0,IF(O29&lt;&gt;"",'Prog. veniturilor'!O25/'Break-even'!O29-1,""),""),"")</f>
        <v/>
      </c>
      <c r="P39" s="212" t="str">
        <f>IFERROR(IF(P16&lt;&gt;0,IF(P29&lt;&gt;"",'Prog. veniturilor'!P25/'Break-even'!P29-1,""),""),"")</f>
        <v/>
      </c>
      <c r="Q39" s="212" t="str">
        <f>IFERROR(IF(Q16&lt;&gt;0,IF(Q29&lt;&gt;"",'Prog. veniturilor'!Q25/'Break-even'!Q29-1,""),""),"")</f>
        <v/>
      </c>
      <c r="R39" s="212" t="str">
        <f>IFERROR(IF(R16&lt;&gt;0,IF(R29&lt;&gt;"",'Prog. veniturilor'!R25/'Break-even'!R29-1,""),""),"")</f>
        <v/>
      </c>
      <c r="S39" s="212" t="str">
        <f>IFERROR(IF(S16&lt;&gt;0,IF(S29&lt;&gt;"",'Prog. veniturilor'!S25/'Break-even'!S29-1,""),""),"")</f>
        <v/>
      </c>
    </row>
    <row r="40" spans="2:19" x14ac:dyDescent="0.3">
      <c r="B40" s="121" t="str">
        <f t="shared" si="4"/>
        <v>Prod.│Serv. 4.</v>
      </c>
      <c r="C40" s="131"/>
      <c r="D40" s="217" t="s">
        <v>90</v>
      </c>
      <c r="E40" s="212" t="str">
        <f>IFERROR(IF(E17&lt;&gt;0,IF(E30&lt;&gt;"",'Prog. veniturilor'!E26/'Break-even'!E30-1,""),""),"")</f>
        <v/>
      </c>
      <c r="F40" s="212" t="str">
        <f>IFERROR(IF(F17&lt;&gt;0,IF(F30&lt;&gt;"",'Prog. veniturilor'!F26/'Break-even'!F30-1,""),""),"")</f>
        <v/>
      </c>
      <c r="G40" s="212" t="str">
        <f>IFERROR(IF(G17&lt;&gt;0,IF(G30&lt;&gt;"",'Prog. veniturilor'!G26/'Break-even'!G30-1,""),""),"")</f>
        <v/>
      </c>
      <c r="H40" s="212" t="str">
        <f>IFERROR(IF(H17&lt;&gt;0,IF(H30&lt;&gt;"",'Prog. veniturilor'!H26/'Break-even'!H30-1,""),""),"")</f>
        <v/>
      </c>
      <c r="I40" s="212" t="str">
        <f>IFERROR(IF(I17&lt;&gt;0,IF(I30&lt;&gt;"",'Prog. veniturilor'!I26/'Break-even'!I30-1,""),""),"")</f>
        <v/>
      </c>
      <c r="J40" s="212" t="str">
        <f>IFERROR(IF(J17&lt;&gt;0,IF(J30&lt;&gt;"",'Prog. veniturilor'!J26/'Break-even'!J30-1,""),""),"")</f>
        <v/>
      </c>
      <c r="K40" s="212" t="str">
        <f>IFERROR(IF(K17&lt;&gt;0,IF(K30&lt;&gt;"",'Prog. veniturilor'!K26/'Break-even'!K30-1,""),""),"")</f>
        <v/>
      </c>
      <c r="L40" s="212" t="str">
        <f>IFERROR(IF(L17&lt;&gt;0,IF(L30&lt;&gt;"",'Prog. veniturilor'!L26/'Break-even'!L30-1,""),""),"")</f>
        <v/>
      </c>
      <c r="M40" s="212" t="str">
        <f>IFERROR(IF(M17&lt;&gt;0,IF(M30&lt;&gt;"",'Prog. veniturilor'!M26/'Break-even'!M30-1,""),""),"")</f>
        <v/>
      </c>
      <c r="N40" s="212" t="str">
        <f>IFERROR(IF(N17&lt;&gt;0,IF(N30&lt;&gt;"",'Prog. veniturilor'!N26/'Break-even'!N30-1,""),""),"")</f>
        <v/>
      </c>
      <c r="O40" s="212" t="str">
        <f>IFERROR(IF(O17&lt;&gt;0,IF(O30&lt;&gt;"",'Prog. veniturilor'!O26/'Break-even'!O30-1,""),""),"")</f>
        <v/>
      </c>
      <c r="P40" s="212" t="str">
        <f>IFERROR(IF(P17&lt;&gt;0,IF(P30&lt;&gt;"",'Prog. veniturilor'!P26/'Break-even'!P30-1,""),""),"")</f>
        <v/>
      </c>
      <c r="Q40" s="212" t="str">
        <f>IFERROR(IF(Q17&lt;&gt;0,IF(Q30&lt;&gt;"",'Prog. veniturilor'!Q26/'Break-even'!Q30-1,""),""),"")</f>
        <v/>
      </c>
      <c r="R40" s="212" t="str">
        <f>IFERROR(IF(R17&lt;&gt;0,IF(R30&lt;&gt;"",'Prog. veniturilor'!R26/'Break-even'!R30-1,""),""),"")</f>
        <v/>
      </c>
      <c r="S40" s="212" t="str">
        <f>IFERROR(IF(S17&lt;&gt;0,IF(S30&lt;&gt;"",'Prog. veniturilor'!S26/'Break-even'!S30-1,""),""),"")</f>
        <v/>
      </c>
    </row>
    <row r="41" spans="2:19" x14ac:dyDescent="0.3">
      <c r="B41" s="121" t="str">
        <f t="shared" si="4"/>
        <v>Prod.│Serv. 5.</v>
      </c>
      <c r="C41" s="131"/>
      <c r="D41" s="217" t="s">
        <v>90</v>
      </c>
      <c r="E41" s="212" t="str">
        <f>IFERROR(IF(E18&lt;&gt;0,IF(E31&lt;&gt;"",'Prog. veniturilor'!E27/'Break-even'!E31-1,""),""),"")</f>
        <v/>
      </c>
      <c r="F41" s="212" t="str">
        <f>IFERROR(IF(F18&lt;&gt;0,IF(F31&lt;&gt;"",'Prog. veniturilor'!F27/'Break-even'!F31-1,""),""),"")</f>
        <v/>
      </c>
      <c r="G41" s="212" t="str">
        <f>IFERROR(IF(G18&lt;&gt;0,IF(G31&lt;&gt;"",'Prog. veniturilor'!G27/'Break-even'!G31-1,""),""),"")</f>
        <v/>
      </c>
      <c r="H41" s="212" t="str">
        <f>IFERROR(IF(H18&lt;&gt;0,IF(H31&lt;&gt;"",'Prog. veniturilor'!H27/'Break-even'!H31-1,""),""),"")</f>
        <v/>
      </c>
      <c r="I41" s="212" t="str">
        <f>IFERROR(IF(I18&lt;&gt;0,IF(I31&lt;&gt;"",'Prog. veniturilor'!I27/'Break-even'!I31-1,""),""),"")</f>
        <v/>
      </c>
      <c r="J41" s="212" t="str">
        <f>IFERROR(IF(J18&lt;&gt;0,IF(J31&lt;&gt;"",'Prog. veniturilor'!J27/'Break-even'!J31-1,""),""),"")</f>
        <v/>
      </c>
      <c r="K41" s="212" t="str">
        <f>IFERROR(IF(K18&lt;&gt;0,IF(K31&lt;&gt;"",'Prog. veniturilor'!K27/'Break-even'!K31-1,""),""),"")</f>
        <v/>
      </c>
      <c r="L41" s="212" t="str">
        <f>IFERROR(IF(L18&lt;&gt;0,IF(L31&lt;&gt;"",'Prog. veniturilor'!L27/'Break-even'!L31-1,""),""),"")</f>
        <v/>
      </c>
      <c r="M41" s="212" t="str">
        <f>IFERROR(IF(M18&lt;&gt;0,IF(M31&lt;&gt;"",'Prog. veniturilor'!M27/'Break-even'!M31-1,""),""),"")</f>
        <v/>
      </c>
      <c r="N41" s="212" t="str">
        <f>IFERROR(IF(N18&lt;&gt;0,IF(N31&lt;&gt;"",'Prog. veniturilor'!N27/'Break-even'!N31-1,""),""),"")</f>
        <v/>
      </c>
      <c r="O41" s="212" t="str">
        <f>IFERROR(IF(O18&lt;&gt;0,IF(O31&lt;&gt;"",'Prog. veniturilor'!O27/'Break-even'!O31-1,""),""),"")</f>
        <v/>
      </c>
      <c r="P41" s="212" t="str">
        <f>IFERROR(IF(P18&lt;&gt;0,IF(P31&lt;&gt;"",'Prog. veniturilor'!P27/'Break-even'!P31-1,""),""),"")</f>
        <v/>
      </c>
      <c r="Q41" s="212" t="str">
        <f>IFERROR(IF(Q18&lt;&gt;0,IF(Q31&lt;&gt;"",'Prog. veniturilor'!Q27/'Break-even'!Q31-1,""),""),"")</f>
        <v/>
      </c>
      <c r="R41" s="212" t="str">
        <f>IFERROR(IF(R18&lt;&gt;0,IF(R31&lt;&gt;"",'Prog. veniturilor'!R27/'Break-even'!R31-1,""),""),"")</f>
        <v/>
      </c>
      <c r="S41" s="212" t="str">
        <f>IFERROR(IF(S18&lt;&gt;0,IF(S31&lt;&gt;"",'Prog. veniturilor'!S27/'Break-even'!S31-1,""),""),"")</f>
        <v/>
      </c>
    </row>
    <row r="42" spans="2:19" x14ac:dyDescent="0.3">
      <c r="B42" s="121" t="str">
        <f t="shared" si="4"/>
        <v>Prod.│Serv. 6.</v>
      </c>
      <c r="C42" s="131"/>
      <c r="D42" s="217" t="s">
        <v>90</v>
      </c>
      <c r="E42" s="212" t="str">
        <f>IFERROR(IF(E19&lt;&gt;0,IF(E32&lt;&gt;"",'Prog. veniturilor'!E28/'Break-even'!E32-1,""),""),"")</f>
        <v/>
      </c>
      <c r="F42" s="212" t="str">
        <f>IFERROR(IF(F19&lt;&gt;0,IF(F32&lt;&gt;"",'Prog. veniturilor'!F28/'Break-even'!F32-1,""),""),"")</f>
        <v/>
      </c>
      <c r="G42" s="212" t="str">
        <f>IFERROR(IF(G19&lt;&gt;0,IF(G32&lt;&gt;"",'Prog. veniturilor'!G28/'Break-even'!G32-1,""),""),"")</f>
        <v/>
      </c>
      <c r="H42" s="212" t="str">
        <f>IFERROR(IF(H19&lt;&gt;0,IF(H32&lt;&gt;"",'Prog. veniturilor'!H28/'Break-even'!H32-1,""),""),"")</f>
        <v/>
      </c>
      <c r="I42" s="212" t="str">
        <f>IFERROR(IF(I19&lt;&gt;0,IF(I32&lt;&gt;"",'Prog. veniturilor'!I28/'Break-even'!I32-1,""),""),"")</f>
        <v/>
      </c>
      <c r="J42" s="212" t="str">
        <f>IFERROR(IF(J19&lt;&gt;0,IF(J32&lt;&gt;"",'Prog. veniturilor'!J28/'Break-even'!J32-1,""),""),"")</f>
        <v/>
      </c>
      <c r="K42" s="212" t="str">
        <f>IFERROR(IF(K19&lt;&gt;0,IF(K32&lt;&gt;"",'Prog. veniturilor'!K28/'Break-even'!K32-1,""),""),"")</f>
        <v/>
      </c>
      <c r="L42" s="212" t="str">
        <f>IFERROR(IF(L19&lt;&gt;0,IF(L32&lt;&gt;"",'Prog. veniturilor'!L28/'Break-even'!L32-1,""),""),"")</f>
        <v/>
      </c>
      <c r="M42" s="212" t="str">
        <f>IFERROR(IF(M19&lt;&gt;0,IF(M32&lt;&gt;"",'Prog. veniturilor'!M28/'Break-even'!M32-1,""),""),"")</f>
        <v/>
      </c>
      <c r="N42" s="212" t="str">
        <f>IFERROR(IF(N19&lt;&gt;0,IF(N32&lt;&gt;"",'Prog. veniturilor'!N28/'Break-even'!N32-1,""),""),"")</f>
        <v/>
      </c>
      <c r="O42" s="212" t="str">
        <f>IFERROR(IF(O19&lt;&gt;0,IF(O32&lt;&gt;"",'Prog. veniturilor'!O28/'Break-even'!O32-1,""),""),"")</f>
        <v/>
      </c>
      <c r="P42" s="212" t="str">
        <f>IFERROR(IF(P19&lt;&gt;0,IF(P32&lt;&gt;"",'Prog. veniturilor'!P28/'Break-even'!P32-1,""),""),"")</f>
        <v/>
      </c>
      <c r="Q42" s="212" t="str">
        <f>IFERROR(IF(Q19&lt;&gt;0,IF(Q32&lt;&gt;"",'Prog. veniturilor'!Q28/'Break-even'!Q32-1,""),""),"")</f>
        <v/>
      </c>
      <c r="R42" s="212" t="str">
        <f>IFERROR(IF(R19&lt;&gt;0,IF(R32&lt;&gt;"",'Prog. veniturilor'!R28/'Break-even'!R32-1,""),""),"")</f>
        <v/>
      </c>
      <c r="S42" s="212" t="str">
        <f>IFERROR(IF(S19&lt;&gt;0,IF(S32&lt;&gt;"",'Prog. veniturilor'!S28/'Break-even'!S32-1,""),""),"")</f>
        <v/>
      </c>
    </row>
    <row r="43" spans="2:19" x14ac:dyDescent="0.3">
      <c r="B43" s="121" t="str">
        <f t="shared" si="4"/>
        <v>Prod.│Serv. 7.</v>
      </c>
      <c r="C43" s="131"/>
      <c r="D43" s="217" t="s">
        <v>90</v>
      </c>
      <c r="E43" s="212" t="str">
        <f>IFERROR(IF(E20&lt;&gt;0,IF(E33&lt;&gt;"",'Prog. veniturilor'!E29/'Break-even'!E33-1,""),""),"")</f>
        <v/>
      </c>
      <c r="F43" s="212" t="str">
        <f>IFERROR(IF(F20&lt;&gt;0,IF(F33&lt;&gt;"",'Prog. veniturilor'!F29/'Break-even'!F33-1,""),""),"")</f>
        <v/>
      </c>
      <c r="G43" s="212" t="str">
        <f>IFERROR(IF(G20&lt;&gt;0,IF(G33&lt;&gt;"",'Prog. veniturilor'!G29/'Break-even'!G33-1,""),""),"")</f>
        <v/>
      </c>
      <c r="H43" s="212" t="str">
        <f>IFERROR(IF(H20&lt;&gt;0,IF(H33&lt;&gt;"",'Prog. veniturilor'!H29/'Break-even'!H33-1,""),""),"")</f>
        <v/>
      </c>
      <c r="I43" s="212" t="str">
        <f>IFERROR(IF(I20&lt;&gt;0,IF(I33&lt;&gt;"",'Prog. veniturilor'!I29/'Break-even'!I33-1,""),""),"")</f>
        <v/>
      </c>
      <c r="J43" s="212" t="str">
        <f>IFERROR(IF(J20&lt;&gt;0,IF(J33&lt;&gt;"",'Prog. veniturilor'!J29/'Break-even'!J33-1,""),""),"")</f>
        <v/>
      </c>
      <c r="K43" s="212" t="str">
        <f>IFERROR(IF(K20&lt;&gt;0,IF(K33&lt;&gt;"",'Prog. veniturilor'!K29/'Break-even'!K33-1,""),""),"")</f>
        <v/>
      </c>
      <c r="L43" s="212" t="str">
        <f>IFERROR(IF(L20&lt;&gt;0,IF(L33&lt;&gt;"",'Prog. veniturilor'!L29/'Break-even'!L33-1,""),""),"")</f>
        <v/>
      </c>
      <c r="M43" s="212" t="str">
        <f>IFERROR(IF(M20&lt;&gt;0,IF(M33&lt;&gt;"",'Prog. veniturilor'!M29/'Break-even'!M33-1,""),""),"")</f>
        <v/>
      </c>
      <c r="N43" s="212" t="str">
        <f>IFERROR(IF(N20&lt;&gt;0,IF(N33&lt;&gt;"",'Prog. veniturilor'!N29/'Break-even'!N33-1,""),""),"")</f>
        <v/>
      </c>
      <c r="O43" s="212" t="str">
        <f>IFERROR(IF(O20&lt;&gt;0,IF(O33&lt;&gt;"",'Prog. veniturilor'!O29/'Break-even'!O33-1,""),""),"")</f>
        <v/>
      </c>
      <c r="P43" s="212" t="str">
        <f>IFERROR(IF(P20&lt;&gt;0,IF(P33&lt;&gt;"",'Prog. veniturilor'!P29/'Break-even'!P33-1,""),""),"")</f>
        <v/>
      </c>
      <c r="Q43" s="212" t="str">
        <f>IFERROR(IF(Q20&lt;&gt;0,IF(Q33&lt;&gt;"",'Prog. veniturilor'!Q29/'Break-even'!Q33-1,""),""),"")</f>
        <v/>
      </c>
      <c r="R43" s="212" t="str">
        <f>IFERROR(IF(R20&lt;&gt;0,IF(R33&lt;&gt;"",'Prog. veniturilor'!R29/'Break-even'!R33-1,""),""),"")</f>
        <v/>
      </c>
      <c r="S43" s="212" t="str">
        <f>IFERROR(IF(S20&lt;&gt;0,IF(S33&lt;&gt;"",'Prog. veniturilor'!S29/'Break-even'!S33-1,""),""),"")</f>
        <v/>
      </c>
    </row>
    <row r="44" spans="2:19" x14ac:dyDescent="0.3">
      <c r="B44" s="121" t="str">
        <f t="shared" si="4"/>
        <v>Prod.│Serv. 8.</v>
      </c>
      <c r="C44" s="131"/>
      <c r="D44" s="217" t="s">
        <v>90</v>
      </c>
      <c r="E44" s="212" t="str">
        <f>IFERROR(IF(E21&lt;&gt;0,IF(E34&lt;&gt;"",'Prog. veniturilor'!E30/'Break-even'!E34-1,""),""),"")</f>
        <v/>
      </c>
      <c r="F44" s="212" t="str">
        <f>IFERROR(IF(F21&lt;&gt;0,IF(F34&lt;&gt;"",'Prog. veniturilor'!F30/'Break-even'!F34-1,""),""),"")</f>
        <v/>
      </c>
      <c r="G44" s="212" t="str">
        <f>IFERROR(IF(G21&lt;&gt;0,IF(G34&lt;&gt;"",'Prog. veniturilor'!G30/'Break-even'!G34-1,""),""),"")</f>
        <v/>
      </c>
      <c r="H44" s="212" t="str">
        <f>IFERROR(IF(H21&lt;&gt;0,IF(H34&lt;&gt;"",'Prog. veniturilor'!H30/'Break-even'!H34-1,""),""),"")</f>
        <v/>
      </c>
      <c r="I44" s="212" t="str">
        <f>IFERROR(IF(I21&lt;&gt;0,IF(I34&lt;&gt;"",'Prog. veniturilor'!I30/'Break-even'!I34-1,""),""),"")</f>
        <v/>
      </c>
      <c r="J44" s="212" t="str">
        <f>IFERROR(IF(J21&lt;&gt;0,IF(J34&lt;&gt;"",'Prog. veniturilor'!J30/'Break-even'!J34-1,""),""),"")</f>
        <v/>
      </c>
      <c r="K44" s="212" t="str">
        <f>IFERROR(IF(K21&lt;&gt;0,IF(K34&lt;&gt;"",'Prog. veniturilor'!K30/'Break-even'!K34-1,""),""),"")</f>
        <v/>
      </c>
      <c r="L44" s="212" t="str">
        <f>IFERROR(IF(L21&lt;&gt;0,IF(L34&lt;&gt;"",'Prog. veniturilor'!L30/'Break-even'!L34-1,""),""),"")</f>
        <v/>
      </c>
      <c r="M44" s="212" t="str">
        <f>IFERROR(IF(M21&lt;&gt;0,IF(M34&lt;&gt;"",'Prog. veniturilor'!M30/'Break-even'!M34-1,""),""),"")</f>
        <v/>
      </c>
      <c r="N44" s="212" t="str">
        <f>IFERROR(IF(N21&lt;&gt;0,IF(N34&lt;&gt;"",'Prog. veniturilor'!N30/'Break-even'!N34-1,""),""),"")</f>
        <v/>
      </c>
      <c r="O44" s="212" t="str">
        <f>IFERROR(IF(O21&lt;&gt;0,IF(O34&lt;&gt;"",'Prog. veniturilor'!O30/'Break-even'!O34-1,""),""),"")</f>
        <v/>
      </c>
      <c r="P44" s="212" t="str">
        <f>IFERROR(IF(P21&lt;&gt;0,IF(P34&lt;&gt;"",'Prog. veniturilor'!P30/'Break-even'!P34-1,""),""),"")</f>
        <v/>
      </c>
      <c r="Q44" s="212" t="str">
        <f>IFERROR(IF(Q21&lt;&gt;0,IF(Q34&lt;&gt;"",'Prog. veniturilor'!Q30/'Break-even'!Q34-1,""),""),"")</f>
        <v/>
      </c>
      <c r="R44" s="212" t="str">
        <f>IFERROR(IF(R21&lt;&gt;0,IF(R34&lt;&gt;"",'Prog. veniturilor'!R30/'Break-even'!R34-1,""),""),"")</f>
        <v/>
      </c>
      <c r="S44" s="212" t="str">
        <f>IFERROR(IF(S21&lt;&gt;0,IF(S34&lt;&gt;"",'Prog. veniturilor'!S30/'Break-even'!S34-1,""),""),"")</f>
        <v/>
      </c>
    </row>
    <row r="45" spans="2:19" x14ac:dyDescent="0.3">
      <c r="B45" s="121" t="str">
        <f t="shared" si="4"/>
        <v>Prod.│Serv. 9.</v>
      </c>
      <c r="C45" s="131"/>
      <c r="D45" s="217" t="s">
        <v>90</v>
      </c>
      <c r="E45" s="212" t="str">
        <f>IFERROR(IF(E22&lt;&gt;0,IF(E35&lt;&gt;"",'Prog. veniturilor'!E31/'Break-even'!E35-1,""),""),"")</f>
        <v/>
      </c>
      <c r="F45" s="212" t="str">
        <f>IFERROR(IF(F22&lt;&gt;0,IF(F35&lt;&gt;"",'Prog. veniturilor'!F31/'Break-even'!F35-1,""),""),"")</f>
        <v/>
      </c>
      <c r="G45" s="212" t="str">
        <f>IFERROR(IF(G22&lt;&gt;0,IF(G35&lt;&gt;"",'Prog. veniturilor'!G31/'Break-even'!G35-1,""),""),"")</f>
        <v/>
      </c>
      <c r="H45" s="212" t="str">
        <f>IFERROR(IF(H22&lt;&gt;0,IF(H35&lt;&gt;"",'Prog. veniturilor'!H31/'Break-even'!H35-1,""),""),"")</f>
        <v/>
      </c>
      <c r="I45" s="212" t="str">
        <f>IFERROR(IF(I22&lt;&gt;0,IF(I35&lt;&gt;"",'Prog. veniturilor'!I31/'Break-even'!I35-1,""),""),"")</f>
        <v/>
      </c>
      <c r="J45" s="212" t="str">
        <f>IFERROR(IF(J22&lt;&gt;0,IF(J35&lt;&gt;"",'Prog. veniturilor'!J31/'Break-even'!J35-1,""),""),"")</f>
        <v/>
      </c>
      <c r="K45" s="212" t="str">
        <f>IFERROR(IF(K22&lt;&gt;0,IF(K35&lt;&gt;"",'Prog. veniturilor'!K31/'Break-even'!K35-1,""),""),"")</f>
        <v/>
      </c>
      <c r="L45" s="212" t="str">
        <f>IFERROR(IF(L22&lt;&gt;0,IF(L35&lt;&gt;"",'Prog. veniturilor'!L31/'Break-even'!L35-1,""),""),"")</f>
        <v/>
      </c>
      <c r="M45" s="212" t="str">
        <f>IFERROR(IF(M22&lt;&gt;0,IF(M35&lt;&gt;"",'Prog. veniturilor'!M31/'Break-even'!M35-1,""),""),"")</f>
        <v/>
      </c>
      <c r="N45" s="212" t="str">
        <f>IFERROR(IF(N22&lt;&gt;0,IF(N35&lt;&gt;"",'Prog. veniturilor'!N31/'Break-even'!N35-1,""),""),"")</f>
        <v/>
      </c>
      <c r="O45" s="212" t="str">
        <f>IFERROR(IF(O22&lt;&gt;0,IF(O35&lt;&gt;"",'Prog. veniturilor'!O31/'Break-even'!O35-1,""),""),"")</f>
        <v/>
      </c>
      <c r="P45" s="212" t="str">
        <f>IFERROR(IF(P22&lt;&gt;0,IF(P35&lt;&gt;"",'Prog. veniturilor'!P31/'Break-even'!P35-1,""),""),"")</f>
        <v/>
      </c>
      <c r="Q45" s="212" t="str">
        <f>IFERROR(IF(Q22&lt;&gt;0,IF(Q35&lt;&gt;"",'Prog. veniturilor'!Q31/'Break-even'!Q35-1,""),""),"")</f>
        <v/>
      </c>
      <c r="R45" s="212" t="str">
        <f>IFERROR(IF(R22&lt;&gt;0,IF(R35&lt;&gt;"",'Prog. veniturilor'!R31/'Break-even'!R35-1,""),""),"")</f>
        <v/>
      </c>
      <c r="S45" s="212" t="str">
        <f>IFERROR(IF(S22&lt;&gt;0,IF(S35&lt;&gt;"",'Prog. veniturilor'!S31/'Break-even'!S35-1,""),""),"")</f>
        <v/>
      </c>
    </row>
    <row r="46" spans="2:19" x14ac:dyDescent="0.3">
      <c r="D46" s="178"/>
    </row>
  </sheetData>
  <sheetProtection algorithmName="SHA-512" hashValue="frHU0DI3s8TvTf70b9ohK2e8aZkiTJ/UQEJbDzqqMkGIHRPXJ0EBfSc7XlKjKoYq5btQtB5H0aZA+Fz07fS0YQ==" saltValue="cmnJQbOSMBkwsK0asYxC0Q==" spinCount="100000" sheet="1" objects="1" scenarios="1"/>
  <mergeCells count="17">
    <mergeCell ref="C6:F6"/>
    <mergeCell ref="C7:F7"/>
    <mergeCell ref="C8:F8"/>
    <mergeCell ref="C9:F9"/>
    <mergeCell ref="S11:S12"/>
    <mergeCell ref="C11:C12"/>
    <mergeCell ref="D11:D12"/>
    <mergeCell ref="E11:P11"/>
    <mergeCell ref="Q11:Q12"/>
    <mergeCell ref="R11:R12"/>
    <mergeCell ref="B11:B12"/>
    <mergeCell ref="B36:S36"/>
    <mergeCell ref="B13:S13"/>
    <mergeCell ref="B26:S26"/>
    <mergeCell ref="B23:C23"/>
    <mergeCell ref="B25:C25"/>
    <mergeCell ref="B24:C24"/>
  </mergeCells>
  <conditionalFormatting sqref="E37:S45">
    <cfRule type="cellIs" dxfId="1" priority="1" operator="lessThan">
      <formula>-0.05</formula>
    </cfRule>
    <cfRule type="cellIs" dxfId="0" priority="2" operator="greaterThan">
      <formula>0.1</formula>
    </cfRule>
  </conditionalFormatting>
  <pageMargins left="0.25" right="0.25" top="0.75" bottom="0.75" header="0.3" footer="0.3"/>
  <pageSetup paperSize="9" scale="72" orientation="landscape" r:id="rId1"/>
  <ignoredErrors>
    <ignoredError sqref="C6:F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DC17-2715-44DE-8930-C62C83BF6EB0}">
  <sheetPr>
    <pageSetUpPr fitToPage="1"/>
  </sheetPr>
  <dimension ref="B4:I57"/>
  <sheetViews>
    <sheetView showGridLines="0" zoomScale="90" zoomScaleNormal="90" workbookViewId="0">
      <selection activeCell="I3" sqref="I3"/>
    </sheetView>
  </sheetViews>
  <sheetFormatPr defaultColWidth="9.109375" defaultRowHeight="14.4" x14ac:dyDescent="0.3"/>
  <cols>
    <col min="1" max="1" width="3.109375" style="18" customWidth="1" collapsed="1"/>
    <col min="2" max="2" width="73.109375" style="18" customWidth="1" collapsed="1"/>
    <col min="3" max="4" width="16.109375" style="18" customWidth="1" collapsed="1"/>
    <col min="5" max="5" width="16.109375" style="18" customWidth="1"/>
    <col min="6" max="6" width="16.109375" style="18" customWidth="1" collapsed="1"/>
    <col min="7" max="7" width="18.109375" style="18" customWidth="1"/>
    <col min="8" max="16384" width="9.109375" style="18" collapsed="1"/>
  </cols>
  <sheetData>
    <row r="4" spans="2:9" x14ac:dyDescent="0.3">
      <c r="I4" s="18">
        <v>2</v>
      </c>
    </row>
    <row r="5" spans="2:9" ht="15" thickBot="1" x14ac:dyDescent="0.35">
      <c r="I5" s="18">
        <v>3</v>
      </c>
    </row>
    <row r="6" spans="2:9" ht="14.25" customHeight="1" thickTop="1" x14ac:dyDescent="0.3">
      <c r="B6" s="84" t="s">
        <v>130</v>
      </c>
      <c r="C6" s="247" t="s">
        <v>275</v>
      </c>
      <c r="D6" s="248"/>
      <c r="E6" s="248"/>
      <c r="F6" s="249"/>
      <c r="I6" s="18">
        <v>4</v>
      </c>
    </row>
    <row r="7" spans="2:9" ht="15" customHeight="1" x14ac:dyDescent="0.3">
      <c r="B7" s="84" t="s">
        <v>131</v>
      </c>
      <c r="C7" s="244" t="s">
        <v>275</v>
      </c>
      <c r="D7" s="245"/>
      <c r="E7" s="245"/>
      <c r="F7" s="246"/>
      <c r="I7" s="18">
        <v>5</v>
      </c>
    </row>
    <row r="8" spans="2:9" ht="15" customHeight="1" x14ac:dyDescent="0.3">
      <c r="B8" s="84" t="s">
        <v>132</v>
      </c>
      <c r="C8" s="244" t="s">
        <v>275</v>
      </c>
      <c r="D8" s="245"/>
      <c r="E8" s="245"/>
      <c r="F8" s="246"/>
    </row>
    <row r="9" spans="2:9" ht="15" customHeight="1" thickBot="1" x14ac:dyDescent="0.35">
      <c r="B9" s="84" t="s">
        <v>133</v>
      </c>
      <c r="C9" s="241" t="s">
        <v>275</v>
      </c>
      <c r="D9" s="242"/>
      <c r="E9" s="242"/>
      <c r="F9" s="243"/>
    </row>
    <row r="10" spans="2:9" ht="15" thickTop="1" x14ac:dyDescent="0.3">
      <c r="I10" s="18">
        <v>4.9000000000000004</v>
      </c>
    </row>
    <row r="11" spans="2:9" s="11" customFormat="1" ht="28.8" x14ac:dyDescent="0.3">
      <c r="B11" s="19" t="s">
        <v>134</v>
      </c>
      <c r="C11" s="19" t="s">
        <v>135</v>
      </c>
      <c r="D11" s="19" t="s">
        <v>136</v>
      </c>
      <c r="E11" s="19" t="s">
        <v>186</v>
      </c>
      <c r="F11" s="19" t="s">
        <v>137</v>
      </c>
    </row>
    <row r="12" spans="2:9" x14ac:dyDescent="0.3">
      <c r="B12" s="20" t="s">
        <v>139</v>
      </c>
      <c r="C12" s="21">
        <f>SUM(C13:C15)</f>
        <v>0</v>
      </c>
      <c r="D12" s="21">
        <f t="shared" ref="D12:F12" si="0">SUM(D13:D15)</f>
        <v>0</v>
      </c>
      <c r="E12" s="21">
        <f t="shared" ref="E12" si="1">SUM(E13:E15)</f>
        <v>0</v>
      </c>
      <c r="F12" s="21">
        <f t="shared" si="0"/>
        <v>0</v>
      </c>
    </row>
    <row r="13" spans="2:9" x14ac:dyDescent="0.3">
      <c r="B13" s="13" t="s">
        <v>140</v>
      </c>
      <c r="C13" s="16">
        <f>SUMIF(Buget!$B$12:$B$60, Centralizator!$B13, Buget!H$12:H$60)</f>
        <v>0</v>
      </c>
      <c r="D13" s="16">
        <f>SUMIF(Buget!$B$12:$B$60, Centralizator!$B13, Buget!I$12:I$60)</f>
        <v>0</v>
      </c>
      <c r="E13" s="16">
        <f>SUMIF(Buget!$B$12:$B$60, Centralizator!$B13, Buget!J$12:J$60)</f>
        <v>0</v>
      </c>
      <c r="F13" s="16">
        <f>SUMIF(Buget!$B$12:$B$60, Centralizator!$B13, Buget!K$12:K$60)</f>
        <v>0</v>
      </c>
    </row>
    <row r="14" spans="2:9" x14ac:dyDescent="0.3">
      <c r="B14" s="13" t="s">
        <v>141</v>
      </c>
      <c r="C14" s="16">
        <f>SUMIF(Buget!$B$12:$B$60, Centralizator!$B14, Buget!H$12:H$60)</f>
        <v>0</v>
      </c>
      <c r="D14" s="16">
        <f>SUMIF(Buget!$B$12:$B$60, Centralizator!$B14, Buget!I$12:I$60)</f>
        <v>0</v>
      </c>
      <c r="E14" s="16">
        <f>SUMIF(Buget!$B$12:$B$60, Centralizator!$B14, Buget!J$12:J$60)</f>
        <v>0</v>
      </c>
      <c r="F14" s="16">
        <f>SUMIF(Buget!$B$12:$B$60, Centralizator!$B14, Buget!K$12:K$60)</f>
        <v>0</v>
      </c>
    </row>
    <row r="15" spans="2:9" ht="28.8" x14ac:dyDescent="0.3">
      <c r="B15" s="13" t="s">
        <v>142</v>
      </c>
      <c r="C15" s="16">
        <f>SUMIF(Buget!$B$12:$B$60, Centralizator!$B15, Buget!H$12:H$60)</f>
        <v>0</v>
      </c>
      <c r="D15" s="16">
        <f>SUMIF(Buget!$B$12:$B$60, Centralizator!$B15, Buget!I$12:I$60)</f>
        <v>0</v>
      </c>
      <c r="E15" s="16">
        <f>SUMIF(Buget!$B$12:$B$60, Centralizator!$B15, Buget!J$12:J$60)</f>
        <v>0</v>
      </c>
      <c r="F15" s="16">
        <f>SUMIF(Buget!$B$12:$B$60, Centralizator!$B15, Buget!K$12:K$60)</f>
        <v>0</v>
      </c>
    </row>
    <row r="16" spans="2:9" x14ac:dyDescent="0.3">
      <c r="B16" s="20" t="s">
        <v>143</v>
      </c>
      <c r="C16" s="21">
        <f>SUM(C17:C20)</f>
        <v>0</v>
      </c>
      <c r="D16" s="21">
        <f t="shared" ref="D16:F16" si="2">SUM(D17:D20)</f>
        <v>0</v>
      </c>
      <c r="E16" s="21">
        <f t="shared" ref="E16" si="3">SUM(E17:E20)</f>
        <v>0</v>
      </c>
      <c r="F16" s="21">
        <f t="shared" si="2"/>
        <v>0</v>
      </c>
    </row>
    <row r="17" spans="2:6" x14ac:dyDescent="0.3">
      <c r="B17" s="13" t="s">
        <v>144</v>
      </c>
      <c r="C17" s="16">
        <f>SUMIF(Buget!$B$12:$B$60, Centralizator!$B17, Buget!H$12:H$60)</f>
        <v>0</v>
      </c>
      <c r="D17" s="16">
        <f>SUMIF(Buget!$B$12:$B$60, Centralizator!$B17, Buget!I$12:I$60)</f>
        <v>0</v>
      </c>
      <c r="E17" s="16">
        <f>SUMIF(Buget!$B$12:$B$60, Centralizator!$B17, Buget!J$12:J$60)</f>
        <v>0</v>
      </c>
      <c r="F17" s="16">
        <f>SUMIF(Buget!$B$12:$B$60, Centralizator!$B17, Buget!K$12:K$60)</f>
        <v>0</v>
      </c>
    </row>
    <row r="18" spans="2:6" x14ac:dyDescent="0.3">
      <c r="B18" s="13" t="s">
        <v>145</v>
      </c>
      <c r="C18" s="16">
        <f>SUMIF(Buget!$B$12:$B$60, Centralizator!$B18, Buget!H$12:H$60)</f>
        <v>0</v>
      </c>
      <c r="D18" s="16">
        <f>SUMIF(Buget!$B$12:$B$60, Centralizator!$B18, Buget!I$12:I$60)</f>
        <v>0</v>
      </c>
      <c r="E18" s="16">
        <f>SUMIF(Buget!$B$12:$B$60, Centralizator!$B18, Buget!J$12:J$60)</f>
        <v>0</v>
      </c>
      <c r="F18" s="16">
        <f>SUMIF(Buget!$B$12:$B$60, Centralizator!$B18, Buget!K$12:K$60)</f>
        <v>0</v>
      </c>
    </row>
    <row r="19" spans="2:6" x14ac:dyDescent="0.3">
      <c r="B19" s="13" t="s">
        <v>146</v>
      </c>
      <c r="C19" s="16">
        <f>SUMIF(Buget!$B$12:$B$60, Centralizator!$B19, Buget!H$12:H$60)</f>
        <v>0</v>
      </c>
      <c r="D19" s="16">
        <f>SUMIF(Buget!$B$12:$B$60, Centralizator!$B19, Buget!I$12:I$60)</f>
        <v>0</v>
      </c>
      <c r="E19" s="16">
        <f>SUMIF(Buget!$B$12:$B$60, Centralizator!$B19, Buget!J$12:J$60)</f>
        <v>0</v>
      </c>
      <c r="F19" s="16">
        <f>SUMIF(Buget!$B$12:$B$60, Centralizator!$B19, Buget!K$12:K$60)</f>
        <v>0</v>
      </c>
    </row>
    <row r="20" spans="2:6" x14ac:dyDescent="0.3">
      <c r="B20" s="13" t="s">
        <v>147</v>
      </c>
      <c r="C20" s="16">
        <f>SUMIF(Buget!$B$12:$B$60, Centralizator!$B20, Buget!H$12:H$60)</f>
        <v>0</v>
      </c>
      <c r="D20" s="16">
        <f>SUMIF(Buget!$B$12:$B$60, Centralizator!$B20, Buget!I$12:I$60)</f>
        <v>0</v>
      </c>
      <c r="E20" s="16">
        <f>SUMIF(Buget!$B$12:$B$60, Centralizator!$B20, Buget!J$12:J$60)</f>
        <v>0</v>
      </c>
      <c r="F20" s="16">
        <f>SUMIF(Buget!$B$12:$B$60, Centralizator!$B20, Buget!K$12:K$60)</f>
        <v>0</v>
      </c>
    </row>
    <row r="21" spans="2:6" ht="28.8" x14ac:dyDescent="0.3">
      <c r="B21" s="13" t="s">
        <v>148</v>
      </c>
      <c r="C21" s="16">
        <f>SUMIF(Buget!$B$12:$B$60, Centralizator!$B21, Buget!H$12:H$60)</f>
        <v>0</v>
      </c>
      <c r="D21" s="16">
        <f>SUMIF(Buget!$B$12:$B$60, Centralizator!$B21, Buget!I$12:I$60)</f>
        <v>0</v>
      </c>
      <c r="E21" s="16">
        <f>SUMIF(Buget!$B$12:$B$60, Centralizator!$B21, Buget!J$12:J$60)</f>
        <v>0</v>
      </c>
      <c r="F21" s="16">
        <f>SUMIF(Buget!$B$12:$B$60, Centralizator!$B21, Buget!K$12:K$60)</f>
        <v>0</v>
      </c>
    </row>
    <row r="22" spans="2:6" ht="43.2" x14ac:dyDescent="0.3">
      <c r="B22" s="20" t="s">
        <v>149</v>
      </c>
      <c r="C22" s="21">
        <f>SUM(C23:C24)</f>
        <v>50000</v>
      </c>
      <c r="D22" s="21">
        <f t="shared" ref="D22:F22" si="4">SUM(D23:D24)</f>
        <v>0</v>
      </c>
      <c r="E22" s="21">
        <f t="shared" ref="E22" si="5">SUM(E23:E24)</f>
        <v>50000</v>
      </c>
      <c r="F22" s="21">
        <f t="shared" si="4"/>
        <v>50000</v>
      </c>
    </row>
    <row r="23" spans="2:6" ht="43.2" x14ac:dyDescent="0.3">
      <c r="B23" s="13" t="s">
        <v>150</v>
      </c>
      <c r="C23" s="16">
        <f>SUMIF(Buget!$B$12:$B$60, Centralizator!$B23, Buget!H$12:H$60)</f>
        <v>50000</v>
      </c>
      <c r="D23" s="16">
        <f>SUMIF(Buget!$B$12:$B$60, Centralizator!$B23, Buget!I$12:I$60)</f>
        <v>0</v>
      </c>
      <c r="E23" s="16">
        <f>SUMIF(Buget!$B$12:$B$60, Centralizator!$B23, Buget!J$12:J$60)</f>
        <v>50000</v>
      </c>
      <c r="F23" s="16">
        <f>SUMIF(Buget!$B$12:$B$60, Centralizator!$B23, Buget!K$12:K$60)</f>
        <v>50000</v>
      </c>
    </row>
    <row r="24" spans="2:6" ht="28.8" x14ac:dyDescent="0.3">
      <c r="B24" s="13" t="s">
        <v>151</v>
      </c>
      <c r="C24" s="16">
        <f>SUMIF(Buget!$B$12:$B$60, Centralizator!$B24, Buget!H$12:H$60)</f>
        <v>0</v>
      </c>
      <c r="D24" s="16">
        <f>SUMIF(Buget!$B$12:$B$60, Centralizator!$B24, Buget!I$12:I$60)</f>
        <v>0</v>
      </c>
      <c r="E24" s="16">
        <f>SUMIF(Buget!$B$12:$B$60, Centralizator!$B24, Buget!J$12:J$60)</f>
        <v>0</v>
      </c>
      <c r="F24" s="16">
        <f>SUMIF(Buget!$B$12:$B$60, Centralizator!$B24, Buget!K$12:K$60)</f>
        <v>0</v>
      </c>
    </row>
    <row r="25" spans="2:6" ht="28.8" x14ac:dyDescent="0.3">
      <c r="B25" s="13" t="s">
        <v>152</v>
      </c>
      <c r="C25" s="16">
        <f>SUMIF(Buget!$B$12:$B$60, Centralizator!$B25, Buget!H$12:H$60)</f>
        <v>0</v>
      </c>
      <c r="D25" s="16">
        <f>SUMIF(Buget!$B$12:$B$60, Centralizator!$B25, Buget!I$12:I$60)</f>
        <v>0</v>
      </c>
      <c r="E25" s="16">
        <f>SUMIF(Buget!$B$12:$B$60, Centralizator!$B25, Buget!J$12:J$60)</f>
        <v>0</v>
      </c>
      <c r="F25" s="16">
        <f>SUMIF(Buget!$B$12:$B$60, Centralizator!$B25, Buget!K$12:K$60)</f>
        <v>0</v>
      </c>
    </row>
    <row r="26" spans="2:6" ht="43.2" x14ac:dyDescent="0.3">
      <c r="B26" s="13" t="s">
        <v>153</v>
      </c>
      <c r="C26" s="16">
        <f>SUMIF(Buget!$B$12:$B$60, Centralizator!$B26, Buget!H$12:H$60)</f>
        <v>0</v>
      </c>
      <c r="D26" s="16">
        <f>SUMIF(Buget!$B$12:$B$60, Centralizator!$B26, Buget!I$12:I$60)</f>
        <v>0</v>
      </c>
      <c r="E26" s="16">
        <f>SUMIF(Buget!$B$12:$B$60, Centralizator!$B26, Buget!J$12:J$60)</f>
        <v>0</v>
      </c>
      <c r="F26" s="16">
        <f>SUMIF(Buget!$B$12:$B$60, Centralizator!$B26, Buget!K$12:K$60)</f>
        <v>0</v>
      </c>
    </row>
    <row r="27" spans="2:6" x14ac:dyDescent="0.3">
      <c r="B27" s="13" t="s">
        <v>154</v>
      </c>
      <c r="C27" s="16">
        <f>SUMIF(Buget!$B$12:$B$60, Centralizator!$B27, Buget!H$12:H$60)</f>
        <v>0</v>
      </c>
      <c r="D27" s="16">
        <f>SUMIF(Buget!$B$12:$B$60, Centralizator!$B27, Buget!I$12:I$60)</f>
        <v>0</v>
      </c>
      <c r="E27" s="16">
        <f>SUMIF(Buget!$B$12:$B$60, Centralizator!$B27, Buget!J$12:J$60)</f>
        <v>0</v>
      </c>
      <c r="F27" s="16">
        <f>SUMIF(Buget!$B$12:$B$60, Centralizator!$B27, Buget!K$12:K$60)</f>
        <v>0</v>
      </c>
    </row>
    <row r="28" spans="2:6" x14ac:dyDescent="0.3">
      <c r="B28" s="13" t="s">
        <v>155</v>
      </c>
      <c r="C28" s="16">
        <f>SUMIF(Buget!$B$12:$B$60, Centralizator!$B28, Buget!H$12:H$60)</f>
        <v>0</v>
      </c>
      <c r="D28" s="16">
        <f>SUMIF(Buget!$B$12:$B$60, Centralizator!$B28, Buget!I$12:I$60)</f>
        <v>0</v>
      </c>
      <c r="E28" s="16">
        <f>SUMIF(Buget!$B$12:$B$60, Centralizator!$B28, Buget!J$12:J$60)</f>
        <v>0</v>
      </c>
      <c r="F28" s="16">
        <f>SUMIF(Buget!$B$12:$B$60, Centralizator!$B28, Buget!K$12:K$60)</f>
        <v>0</v>
      </c>
    </row>
    <row r="29" spans="2:6" ht="28.8" x14ac:dyDescent="0.3">
      <c r="B29" s="13" t="s">
        <v>156</v>
      </c>
      <c r="C29" s="16">
        <f>SUMIF(Buget!$B$12:$B$60, Centralizator!$B29, Buget!H$12:H$60)</f>
        <v>0</v>
      </c>
      <c r="D29" s="16">
        <f>SUMIF(Buget!$B$12:$B$60, Centralizator!$B29, Buget!I$12:I$60)</f>
        <v>0</v>
      </c>
      <c r="E29" s="16">
        <f>SUMIF(Buget!$B$12:$B$60, Centralizator!$B29, Buget!J$12:J$60)</f>
        <v>0</v>
      </c>
      <c r="F29" s="16">
        <f>SUMIF(Buget!$B$12:$B$60, Centralizator!$B29, Buget!K$12:K$60)</f>
        <v>0</v>
      </c>
    </row>
    <row r="30" spans="2:6" x14ac:dyDescent="0.3">
      <c r="B30" s="13" t="s">
        <v>157</v>
      </c>
      <c r="C30" s="16">
        <f>SUMIF(Buget!$B$12:$B$60, Centralizator!$B30, Buget!H$12:H$60)</f>
        <v>0</v>
      </c>
      <c r="D30" s="16">
        <f>SUMIF(Buget!$B$12:$B$60, Centralizator!$B30, Buget!I$12:I$60)</f>
        <v>0</v>
      </c>
      <c r="E30" s="16">
        <f>SUMIF(Buget!$B$12:$B$60, Centralizator!$B30, Buget!J$12:J$60)</f>
        <v>0</v>
      </c>
      <c r="F30" s="16">
        <f>SUMIF(Buget!$B$12:$B$60, Centralizator!$B30, Buget!K$12:K$60)</f>
        <v>0</v>
      </c>
    </row>
    <row r="31" spans="2:6" x14ac:dyDescent="0.3">
      <c r="B31" s="13" t="s">
        <v>158</v>
      </c>
      <c r="C31" s="16">
        <f>SUMIF(Buget!$B$12:$B$60, Centralizator!$B31, Buget!H$12:H$60)</f>
        <v>0</v>
      </c>
      <c r="D31" s="16">
        <f>SUMIF(Buget!$B$12:$B$60, Centralizator!$B31, Buget!I$12:I$60)</f>
        <v>0</v>
      </c>
      <c r="E31" s="16">
        <f>SUMIF(Buget!$B$12:$B$60, Centralizator!$B31, Buget!J$12:J$60)</f>
        <v>0</v>
      </c>
      <c r="F31" s="16">
        <f>SUMIF(Buget!$B$12:$B$60, Centralizator!$B31, Buget!K$12:K$60)</f>
        <v>0</v>
      </c>
    </row>
    <row r="32" spans="2:6" x14ac:dyDescent="0.3">
      <c r="B32" s="13" t="s">
        <v>159</v>
      </c>
      <c r="C32" s="16">
        <f>SUMIF(Buget!$B$12:$B$60, Centralizator!$B32, Buget!H$12:H$60)</f>
        <v>0</v>
      </c>
      <c r="D32" s="16">
        <f>SUMIF(Buget!$B$12:$B$60, Centralizator!$B32, Buget!I$12:I$60)</f>
        <v>0</v>
      </c>
      <c r="E32" s="16">
        <f>SUMIF(Buget!$B$12:$B$60, Centralizator!$B32, Buget!J$12:J$60)</f>
        <v>0</v>
      </c>
      <c r="F32" s="16">
        <f>SUMIF(Buget!$B$12:$B$60, Centralizator!$B32, Buget!K$12:K$60)</f>
        <v>0</v>
      </c>
    </row>
    <row r="33" spans="2:6" x14ac:dyDescent="0.3">
      <c r="B33" s="13" t="s">
        <v>160</v>
      </c>
      <c r="C33" s="16">
        <f>SUMIF(Buget!$B$12:$B$60, Centralizator!$B33, Buget!H$12:H$60)</f>
        <v>0</v>
      </c>
      <c r="D33" s="16">
        <f>SUMIF(Buget!$B$12:$B$60, Centralizator!$B33, Buget!I$12:I$60)</f>
        <v>0</v>
      </c>
      <c r="E33" s="16">
        <f>SUMIF(Buget!$B$12:$B$60, Centralizator!$B33, Buget!J$12:J$60)</f>
        <v>0</v>
      </c>
      <c r="F33" s="16">
        <f>SUMIF(Buget!$B$12:$B$60, Centralizator!$B33, Buget!K$12:K$60)</f>
        <v>0</v>
      </c>
    </row>
    <row r="34" spans="2:6" x14ac:dyDescent="0.3">
      <c r="B34" s="13" t="s">
        <v>161</v>
      </c>
      <c r="C34" s="16">
        <f>SUMIF(Buget!$B$12:$B$60, Centralizator!$B34, Buget!H$12:H$60)</f>
        <v>0</v>
      </c>
      <c r="D34" s="16">
        <f>SUMIF(Buget!$B$12:$B$60, Centralizator!$B34, Buget!I$12:I$60)</f>
        <v>0</v>
      </c>
      <c r="E34" s="16">
        <f>SUMIF(Buget!$B$12:$B$60, Centralizator!$B34, Buget!J$12:J$60)</f>
        <v>0</v>
      </c>
      <c r="F34" s="16">
        <f>SUMIF(Buget!$B$12:$B$60, Centralizator!$B34, Buget!K$12:K$60)</f>
        <v>0</v>
      </c>
    </row>
    <row r="35" spans="2:6" x14ac:dyDescent="0.3">
      <c r="B35" s="20" t="s">
        <v>162</v>
      </c>
      <c r="C35" s="21">
        <f>SUM(C36:C39)</f>
        <v>0</v>
      </c>
      <c r="D35" s="21">
        <f>SUM(D36:D39)</f>
        <v>0</v>
      </c>
      <c r="E35" s="21">
        <f>SUM(E36:E39)</f>
        <v>0</v>
      </c>
      <c r="F35" s="21">
        <f>SUM(F36:F39)</f>
        <v>0</v>
      </c>
    </row>
    <row r="36" spans="2:6" x14ac:dyDescent="0.3">
      <c r="B36" s="13" t="s">
        <v>163</v>
      </c>
      <c r="C36" s="16">
        <f>SUMIF(Buget!$B$12:$B$60, Centralizator!$B36, Buget!H$12:H$60)</f>
        <v>0</v>
      </c>
      <c r="D36" s="16">
        <f>SUMIF(Buget!$B$12:$B$60, Centralizator!$B36, Buget!I$12:I$60)</f>
        <v>0</v>
      </c>
      <c r="E36" s="16">
        <f>SUMIF(Buget!$B$12:$B$60, Centralizator!$B36, Buget!J$12:J$60)</f>
        <v>0</v>
      </c>
      <c r="F36" s="16">
        <f>SUMIF(Buget!$B$12:$B$60, Centralizator!$B36, Buget!K$12:K$60)</f>
        <v>0</v>
      </c>
    </row>
    <row r="37" spans="2:6" x14ac:dyDescent="0.3">
      <c r="B37" s="13" t="s">
        <v>164</v>
      </c>
      <c r="C37" s="16">
        <f>SUMIF(Buget!$B$12:$B$60, Centralizator!$B37, Buget!H$12:H$60)</f>
        <v>0</v>
      </c>
      <c r="D37" s="16">
        <f>SUMIF(Buget!$B$12:$B$60, Centralizator!$B37, Buget!I$12:I$60)</f>
        <v>0</v>
      </c>
      <c r="E37" s="16">
        <f>SUMIF(Buget!$B$12:$B$60, Centralizator!$B37, Buget!J$12:J$60)</f>
        <v>0</v>
      </c>
      <c r="F37" s="16">
        <f>SUMIF(Buget!$B$12:$B$60, Centralizator!$B37, Buget!K$12:K$60)</f>
        <v>0</v>
      </c>
    </row>
    <row r="38" spans="2:6" ht="28.8" x14ac:dyDescent="0.3">
      <c r="B38" s="13" t="s">
        <v>165</v>
      </c>
      <c r="C38" s="16">
        <f>SUMIF(Buget!$B$12:$B$60, Centralizator!$B38, Buget!H$12:H$60)</f>
        <v>0</v>
      </c>
      <c r="D38" s="16">
        <f>SUMIF(Buget!$B$12:$B$60, Centralizator!$B38, Buget!I$12:I$60)</f>
        <v>0</v>
      </c>
      <c r="E38" s="16">
        <f>SUMIF(Buget!$B$12:$B$60, Centralizator!$B38, Buget!J$12:J$60)</f>
        <v>0</v>
      </c>
      <c r="F38" s="16">
        <f>SUMIF(Buget!$B$12:$B$60, Centralizator!$B38, Buget!K$12:K$60)</f>
        <v>0</v>
      </c>
    </row>
    <row r="39" spans="2:6" x14ac:dyDescent="0.3">
      <c r="B39" s="13" t="s">
        <v>166</v>
      </c>
      <c r="C39" s="16">
        <f>SUMIF(Buget!$B$12:$B$60, Centralizator!$B39, Buget!H$12:H$60)</f>
        <v>0</v>
      </c>
      <c r="D39" s="16">
        <f>SUMIF(Buget!$B$12:$B$60, Centralizator!$B39, Buget!I$12:I$60)</f>
        <v>0</v>
      </c>
      <c r="E39" s="16">
        <f>SUMIF(Buget!$B$12:$B$60, Centralizator!$B39, Buget!J$12:J$60)</f>
        <v>0</v>
      </c>
      <c r="F39" s="16">
        <f>SUMIF(Buget!$B$12:$B$60, Centralizator!$B39, Buget!K$12:K$60)</f>
        <v>0</v>
      </c>
    </row>
    <row r="40" spans="2:6" x14ac:dyDescent="0.3">
      <c r="B40" s="19" t="s">
        <v>167</v>
      </c>
      <c r="C40" s="22">
        <f>SUM(C13:C15,C17:C21,C23:C34,C36:C39)</f>
        <v>50000</v>
      </c>
      <c r="D40" s="22">
        <f t="shared" ref="D40:F40" si="6">SUM(D13:D15,D17:D21,D23:D34,D36:D39)</f>
        <v>0</v>
      </c>
      <c r="E40" s="22">
        <f>SUM(E13:E15,E17:E21,E23:E34,E36:E39)</f>
        <v>50000</v>
      </c>
      <c r="F40" s="22">
        <f t="shared" si="6"/>
        <v>50000</v>
      </c>
    </row>
    <row r="42" spans="2:6" ht="28.8" x14ac:dyDescent="0.3">
      <c r="B42" s="19" t="s">
        <v>134</v>
      </c>
      <c r="C42" s="19" t="s">
        <v>135</v>
      </c>
      <c r="D42" s="19" t="s">
        <v>136</v>
      </c>
      <c r="E42" s="19" t="s">
        <v>186</v>
      </c>
      <c r="F42" s="19" t="s">
        <v>137</v>
      </c>
    </row>
    <row r="43" spans="2:6" x14ac:dyDescent="0.3">
      <c r="B43" s="23" t="s">
        <v>168</v>
      </c>
      <c r="C43" s="21">
        <f>SUMIF(Buget!$M$12:$M$60, Centralizator!$B43, Buget!H$12:H$60)</f>
        <v>0</v>
      </c>
      <c r="D43" s="21">
        <f>SUMIF(Buget!$M$12:$M$60, Centralizator!$B43, Buget!I$12:I$60)</f>
        <v>0</v>
      </c>
      <c r="E43" s="21">
        <f>SUMIF(Buget!$M$12:$M$60, Centralizator!$B43, Buget!J$12:J$60)</f>
        <v>0</v>
      </c>
      <c r="F43" s="21">
        <f>SUMIF(Buget!$M$12:$M$60, Centralizator!$B43, Buget!K$12:K$60)</f>
        <v>0</v>
      </c>
    </row>
    <row r="44" spans="2:6" x14ac:dyDescent="0.3">
      <c r="B44" s="23" t="s">
        <v>169</v>
      </c>
      <c r="C44" s="21">
        <f>SUMIF(Buget!$M$12:$M$60, Centralizator!$B44, Buget!H$12:H$60)</f>
        <v>0</v>
      </c>
      <c r="D44" s="21">
        <f>SUMIF(Buget!$M$12:$M$60, Centralizator!$B44, Buget!I$12:I$60)</f>
        <v>0</v>
      </c>
      <c r="E44" s="21">
        <f>SUMIF(Buget!$M$12:$M$60, Centralizator!$B44, Buget!J$12:J$60)</f>
        <v>0</v>
      </c>
      <c r="F44" s="21">
        <f>SUMIF(Buget!$M$12:$M$60, Centralizator!$B44, Buget!K$12:K$60)</f>
        <v>0</v>
      </c>
    </row>
    <row r="45" spans="2:6" x14ac:dyDescent="0.3">
      <c r="B45" s="23" t="s">
        <v>170</v>
      </c>
      <c r="C45" s="21">
        <f>SUMIF(Buget!$M$12:$M$60, Centralizator!$B45, Buget!H$12:H$60)</f>
        <v>50000</v>
      </c>
      <c r="D45" s="21">
        <f>SUMIF(Buget!$M$12:$M$60, Centralizator!$B45, Buget!I$12:I$60)</f>
        <v>0</v>
      </c>
      <c r="E45" s="21">
        <f>SUMIF(Buget!$M$12:$M$60, Centralizator!$B45, Buget!J$12:J$60)</f>
        <v>50000</v>
      </c>
      <c r="F45" s="21">
        <f>SUMIF(Buget!$M$12:$M$60, Centralizator!$B45, Buget!K$12:K$60)</f>
        <v>50000</v>
      </c>
    </row>
    <row r="46" spans="2:6" x14ac:dyDescent="0.3">
      <c r="B46" s="23" t="s">
        <v>171</v>
      </c>
      <c r="C46" s="21">
        <f>SUMIF(Buget!$M$12:$M$60, Centralizator!$B46, Buget!H$12:H$60)</f>
        <v>0</v>
      </c>
      <c r="D46" s="21">
        <f>SUMIF(Buget!$M$12:$M$60, Centralizator!$B46, Buget!I$12:I$60)</f>
        <v>0</v>
      </c>
      <c r="E46" s="21">
        <f>SUMIF(Buget!$M$12:$M$60, Centralizator!$B46, Buget!J$12:J$60)</f>
        <v>0</v>
      </c>
      <c r="F46" s="21">
        <f>SUMIF(Buget!$M$12:$M$60, Centralizator!$B46, Buget!K$12:K$60)</f>
        <v>0</v>
      </c>
    </row>
    <row r="47" spans="2:6" x14ac:dyDescent="0.3">
      <c r="B47" s="23" t="s">
        <v>172</v>
      </c>
      <c r="C47" s="21">
        <f>SUMIF(Buget!$M$12:$M$60, Centralizator!$B47, Buget!H$12:H$60)</f>
        <v>0</v>
      </c>
      <c r="D47" s="21">
        <f>SUMIF(Buget!$M$12:$M$60, Centralizator!$B47, Buget!I$12:I$60)</f>
        <v>0</v>
      </c>
      <c r="E47" s="21">
        <f>SUMIF(Buget!$M$12:$M$60, Centralizator!$B47, Buget!J$12:J$60)</f>
        <v>0</v>
      </c>
      <c r="F47" s="21">
        <f>SUMIF(Buget!$M$12:$M$60, Centralizator!$B47, Buget!K$12:K$60)</f>
        <v>0</v>
      </c>
    </row>
    <row r="48" spans="2:6" x14ac:dyDescent="0.3">
      <c r="B48" s="23" t="s">
        <v>173</v>
      </c>
      <c r="C48" s="21">
        <f>SUMIF(Buget!$M$12:$M$60, Centralizator!$B48, Buget!H$12:H$60)</f>
        <v>0</v>
      </c>
      <c r="D48" s="21">
        <f>SUMIF(Buget!$M$12:$M$60, Centralizator!$B48, Buget!I$12:I$60)</f>
        <v>0</v>
      </c>
      <c r="E48" s="21">
        <f>SUMIF(Buget!$M$12:$M$60, Centralizator!$B48, Buget!J$12:J$60)</f>
        <v>0</v>
      </c>
      <c r="F48" s="21">
        <f>SUMIF(Buget!$M$12:$M$60, Centralizator!$B48, Buget!K$12:K$60)</f>
        <v>0</v>
      </c>
    </row>
    <row r="49" spans="2:6" x14ac:dyDescent="0.3">
      <c r="B49" s="19" t="s">
        <v>167</v>
      </c>
      <c r="C49" s="22">
        <f>SUM(C43:C48)</f>
        <v>50000</v>
      </c>
      <c r="D49" s="22">
        <f t="shared" ref="D49:F49" si="7">SUM(D43:D48)</f>
        <v>0</v>
      </c>
      <c r="E49" s="22">
        <f t="shared" ref="E49" si="8">SUM(E43:E48)</f>
        <v>50000</v>
      </c>
      <c r="F49" s="22">
        <f t="shared" si="7"/>
        <v>50000</v>
      </c>
    </row>
    <row r="51" spans="2:6" x14ac:dyDescent="0.3">
      <c r="B51" s="19" t="s">
        <v>174</v>
      </c>
      <c r="C51" s="19" t="s">
        <v>175</v>
      </c>
    </row>
    <row r="52" spans="2:6" ht="15" thickBot="1" x14ac:dyDescent="0.35">
      <c r="B52" s="13" t="s">
        <v>176</v>
      </c>
      <c r="C52" s="24">
        <f>IF(F49=0,0%,F24/F49)</f>
        <v>0</v>
      </c>
    </row>
    <row r="53" spans="2:6" ht="15.6" thickTop="1" thickBot="1" x14ac:dyDescent="0.35">
      <c r="B53" s="230" t="s">
        <v>283</v>
      </c>
      <c r="C53" s="88">
        <v>3</v>
      </c>
    </row>
    <row r="54" spans="2:6" ht="15.6" thickTop="1" thickBot="1" x14ac:dyDescent="0.35">
      <c r="B54" s="13" t="s">
        <v>177</v>
      </c>
      <c r="C54" s="86">
        <f>F49/(C53*20000*I10)</f>
        <v>0.17006802721088435</v>
      </c>
    </row>
    <row r="55" spans="2:6" ht="15.6" thickTop="1" thickBot="1" x14ac:dyDescent="0.35">
      <c r="B55" s="85" t="s">
        <v>178</v>
      </c>
      <c r="C55" s="88">
        <f>ROUNDDOWN(F49*75%/100,0)*100</f>
        <v>37500</v>
      </c>
    </row>
    <row r="56" spans="2:6" ht="15" thickTop="1" x14ac:dyDescent="0.3">
      <c r="B56" s="25" t="s">
        <v>179</v>
      </c>
      <c r="C56" s="87">
        <f>IF(F49=0,0%,C55/F49)</f>
        <v>0.75</v>
      </c>
    </row>
    <row r="57" spans="2:6" x14ac:dyDescent="0.3">
      <c r="B57" s="26" t="s">
        <v>180</v>
      </c>
      <c r="C57" s="27">
        <f>IF(C55=0,0%,'Prog. veniturilor'!Q44/Centralizator!C55)</f>
        <v>7.04</v>
      </c>
    </row>
  </sheetData>
  <sheetProtection algorithmName="SHA-512" hashValue="8Jp6ofsPpsnd+N+rSq45qA2CIHP2jJFjKX7ZZAVBmhEyEcRJxgBxoICVa/Ioe8QIMcCmZx4bnbXBH92tfNR5QQ==" saltValue="0BKi3fL0epFIIE6E+pYN+w==" spinCount="100000" sheet="1" objects="1" scenarios="1"/>
  <mergeCells count="4">
    <mergeCell ref="C9:F9"/>
    <mergeCell ref="C8:F8"/>
    <mergeCell ref="C7:F7"/>
    <mergeCell ref="C6:F6"/>
  </mergeCells>
  <conditionalFormatting sqref="C54">
    <cfRule type="cellIs" dxfId="12" priority="2" operator="greaterThan">
      <formula>1</formula>
    </cfRule>
    <cfRule type="cellIs" dxfId="11" priority="7" operator="greaterThan">
      <formula>1</formula>
    </cfRule>
  </conditionalFormatting>
  <conditionalFormatting sqref="C52">
    <cfRule type="cellIs" dxfId="10" priority="1" operator="greaterThan">
      <formula>0.1</formula>
    </cfRule>
    <cfRule type="cellIs" dxfId="9" priority="6" operator="greaterThan">
      <formula>0.1</formula>
    </cfRule>
  </conditionalFormatting>
  <conditionalFormatting sqref="C56">
    <cfRule type="cellIs" dxfId="8" priority="4" operator="greaterThan">
      <formula>0.75</formula>
    </cfRule>
    <cfRule type="cellIs" dxfId="7" priority="5" operator="greaterThan">
      <formula>1</formula>
    </cfRule>
  </conditionalFormatting>
  <conditionalFormatting sqref="C57">
    <cfRule type="cellIs" dxfId="6" priority="3" operator="lessThan">
      <formula>0.3</formula>
    </cfRule>
  </conditionalFormatting>
  <dataValidations count="1">
    <dataValidation type="list" allowBlank="1" showInputMessage="1" showErrorMessage="1" sqref="C53" xr:uid="{EAA08F82-0FC7-7649-A8F2-74E1CA176913}">
      <formula1>$I$4:$I$7</formula1>
    </dataValidation>
  </dataValidations>
  <pageMargins left="0.25" right="0.25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EEE7-D481-4071-A39E-A2B9009ED636}">
  <sheetPr>
    <pageSetUpPr fitToPage="1"/>
  </sheetPr>
  <dimension ref="A6:R61"/>
  <sheetViews>
    <sheetView showGridLines="0" topLeftCell="A7" zoomScale="90" zoomScaleNormal="90" workbookViewId="0">
      <selection activeCell="C13" sqref="C13"/>
    </sheetView>
  </sheetViews>
  <sheetFormatPr defaultColWidth="9.109375" defaultRowHeight="14.4" x14ac:dyDescent="0.3"/>
  <cols>
    <col min="1" max="1" width="3.77734375" style="11" bestFit="1" customWidth="1" collapsed="1"/>
    <col min="2" max="2" width="44.44140625" style="11" customWidth="1" collapsed="1"/>
    <col min="3" max="3" width="33" style="11" customWidth="1" collapsed="1"/>
    <col min="4" max="11" width="12.109375" style="11" customWidth="1" collapsed="1"/>
    <col min="12" max="12" width="12.109375" style="11" hidden="1" customWidth="1" collapsed="1"/>
    <col min="13" max="13" width="15.77734375" style="11" hidden="1" customWidth="1" collapsed="1"/>
    <col min="14" max="14" width="0" style="11" hidden="1" customWidth="1" collapsed="1"/>
    <col min="15" max="17" width="9.109375" style="11" collapsed="1"/>
    <col min="18" max="18" width="0" style="11" hidden="1" customWidth="1" collapsed="1"/>
    <col min="19" max="16384" width="9.109375" style="11" collapsed="1"/>
  </cols>
  <sheetData>
    <row r="6" spans="1:18" x14ac:dyDescent="0.3">
      <c r="B6" s="28" t="s">
        <v>130</v>
      </c>
      <c r="C6" s="250" t="str">
        <f>Centralizator!C6</f>
        <v>se completează pe pagina Centralizator</v>
      </c>
      <c r="D6" s="250"/>
      <c r="E6" s="250"/>
      <c r="F6" s="250"/>
    </row>
    <row r="7" spans="1:18" x14ac:dyDescent="0.3">
      <c r="B7" s="28" t="s">
        <v>131</v>
      </c>
      <c r="C7" s="250" t="str">
        <f>Centralizator!C7</f>
        <v>se completează pe pagina Centralizator</v>
      </c>
      <c r="D7" s="250"/>
      <c r="E7" s="250"/>
      <c r="F7" s="250"/>
    </row>
    <row r="8" spans="1:18" x14ac:dyDescent="0.3">
      <c r="B8" s="28" t="s">
        <v>132</v>
      </c>
      <c r="C8" s="250" t="str">
        <f>Centralizator!C8</f>
        <v>se completează pe pagina Centralizator</v>
      </c>
      <c r="D8" s="250"/>
      <c r="E8" s="250"/>
      <c r="F8" s="250"/>
    </row>
    <row r="9" spans="1:18" x14ac:dyDescent="0.3">
      <c r="B9" s="28" t="s">
        <v>133</v>
      </c>
      <c r="C9" s="250" t="str">
        <f>Centralizator!C9</f>
        <v>se completează pe pagina Centralizator</v>
      </c>
      <c r="D9" s="250"/>
      <c r="E9" s="250"/>
      <c r="F9" s="250"/>
      <c r="H9" s="29">
        <f>H61</f>
        <v>50000</v>
      </c>
      <c r="I9" s="29">
        <f t="shared" ref="I9:L9" si="0">I61</f>
        <v>0</v>
      </c>
      <c r="J9" s="29">
        <f t="shared" si="0"/>
        <v>50000</v>
      </c>
      <c r="K9" s="29">
        <f t="shared" si="0"/>
        <v>50000</v>
      </c>
      <c r="L9" s="29">
        <f t="shared" si="0"/>
        <v>0</v>
      </c>
    </row>
    <row r="11" spans="1:18" ht="29.4" thickBot="1" x14ac:dyDescent="0.35">
      <c r="A11" s="77" t="s">
        <v>181</v>
      </c>
      <c r="B11" s="77" t="s">
        <v>134</v>
      </c>
      <c r="C11" s="77" t="s">
        <v>182</v>
      </c>
      <c r="D11" s="77" t="s">
        <v>9</v>
      </c>
      <c r="E11" s="77" t="s">
        <v>183</v>
      </c>
      <c r="F11" s="77" t="s">
        <v>184</v>
      </c>
      <c r="G11" s="77" t="s">
        <v>185</v>
      </c>
      <c r="H11" s="30" t="s">
        <v>135</v>
      </c>
      <c r="I11" s="30" t="s">
        <v>136</v>
      </c>
      <c r="J11" s="30" t="s">
        <v>186</v>
      </c>
      <c r="K11" s="77" t="s">
        <v>187</v>
      </c>
      <c r="L11" s="30" t="s">
        <v>138</v>
      </c>
      <c r="M11" s="31" t="s">
        <v>188</v>
      </c>
    </row>
    <row r="12" spans="1:18" ht="58.2" thickTop="1" x14ac:dyDescent="0.3">
      <c r="A12" s="78"/>
      <c r="B12" s="79" t="s">
        <v>150</v>
      </c>
      <c r="C12" s="79" t="s">
        <v>284</v>
      </c>
      <c r="D12" s="80"/>
      <c r="E12" s="80">
        <v>1</v>
      </c>
      <c r="F12" s="80">
        <v>50000</v>
      </c>
      <c r="G12" s="81"/>
      <c r="H12" s="76">
        <f>ROUND(E12*F12,2)</f>
        <v>50000</v>
      </c>
      <c r="I12" s="75">
        <f>ROUND(H12*G12,2)</f>
        <v>0</v>
      </c>
      <c r="J12" s="89">
        <f>ROUND(H12+I12,2)</f>
        <v>50000</v>
      </c>
      <c r="K12" s="233">
        <f>J12</f>
        <v>50000</v>
      </c>
      <c r="L12" s="76">
        <f>J12-K12</f>
        <v>0</v>
      </c>
      <c r="M12" s="33" t="str">
        <f>IF($B12=0, "", VLOOKUP($B12, B_meta!$A:$B, 2, 0))</f>
        <v>4. FEDR</v>
      </c>
      <c r="R12" s="18" t="s">
        <v>140</v>
      </c>
    </row>
    <row r="13" spans="1:18" x14ac:dyDescent="0.3">
      <c r="A13" s="82"/>
      <c r="B13" s="17"/>
      <c r="C13" s="17"/>
      <c r="D13" s="32"/>
      <c r="E13" s="32"/>
      <c r="F13" s="32"/>
      <c r="G13" s="83"/>
      <c r="H13" s="76">
        <f t="shared" ref="H13:H60" si="1">ROUND(E13*F13,2)</f>
        <v>0</v>
      </c>
      <c r="I13" s="75">
        <f t="shared" ref="I13:I60" si="2">ROUND(H13*G13,2)</f>
        <v>0</v>
      </c>
      <c r="J13" s="89">
        <f t="shared" ref="J13:J60" si="3">ROUND(H13+I13,2)</f>
        <v>0</v>
      </c>
      <c r="K13" s="233">
        <f t="shared" ref="K13:K60" si="4">J13</f>
        <v>0</v>
      </c>
      <c r="L13" s="76">
        <f t="shared" ref="L13:L60" si="5">J13-K13</f>
        <v>0</v>
      </c>
      <c r="M13" s="33" t="str">
        <f>IF($B13=0, "", VLOOKUP($B13, B_meta!$A:$B, 2, 0))</f>
        <v/>
      </c>
      <c r="R13" s="18" t="s">
        <v>141</v>
      </c>
    </row>
    <row r="14" spans="1:18" x14ac:dyDescent="0.3">
      <c r="A14" s="82"/>
      <c r="B14" s="17"/>
      <c r="C14" s="17"/>
      <c r="D14" s="32"/>
      <c r="E14" s="32"/>
      <c r="F14" s="32"/>
      <c r="G14" s="83"/>
      <c r="H14" s="76">
        <f t="shared" si="1"/>
        <v>0</v>
      </c>
      <c r="I14" s="75">
        <f t="shared" si="2"/>
        <v>0</v>
      </c>
      <c r="J14" s="89">
        <f t="shared" si="3"/>
        <v>0</v>
      </c>
      <c r="K14" s="233">
        <f t="shared" si="4"/>
        <v>0</v>
      </c>
      <c r="L14" s="76">
        <f t="shared" si="5"/>
        <v>0</v>
      </c>
      <c r="M14" s="33" t="str">
        <f>IF($B14=0, "", VLOOKUP($B14, B_meta!$A:$B, 2, 0))</f>
        <v/>
      </c>
      <c r="R14" s="18" t="s">
        <v>142</v>
      </c>
    </row>
    <row r="15" spans="1:18" x14ac:dyDescent="0.3">
      <c r="A15" s="82"/>
      <c r="B15" s="17"/>
      <c r="C15" s="17"/>
      <c r="D15" s="32"/>
      <c r="E15" s="32"/>
      <c r="F15" s="32"/>
      <c r="G15" s="83"/>
      <c r="H15" s="76">
        <f t="shared" si="1"/>
        <v>0</v>
      </c>
      <c r="I15" s="75">
        <f t="shared" si="2"/>
        <v>0</v>
      </c>
      <c r="J15" s="89">
        <f t="shared" si="3"/>
        <v>0</v>
      </c>
      <c r="K15" s="233">
        <f t="shared" si="4"/>
        <v>0</v>
      </c>
      <c r="L15" s="76">
        <f t="shared" si="5"/>
        <v>0</v>
      </c>
      <c r="M15" s="33" t="str">
        <f>IF($B15=0, "", VLOOKUP($B15, B_meta!$A:$B, 2, 0))</f>
        <v/>
      </c>
      <c r="R15" s="18" t="s">
        <v>144</v>
      </c>
    </row>
    <row r="16" spans="1:18" x14ac:dyDescent="0.3">
      <c r="A16" s="82"/>
      <c r="B16" s="17"/>
      <c r="C16" s="17"/>
      <c r="D16" s="32"/>
      <c r="E16" s="32"/>
      <c r="F16" s="32"/>
      <c r="G16" s="83"/>
      <c r="H16" s="76">
        <f t="shared" si="1"/>
        <v>0</v>
      </c>
      <c r="I16" s="75">
        <f t="shared" si="2"/>
        <v>0</v>
      </c>
      <c r="J16" s="89">
        <f t="shared" si="3"/>
        <v>0</v>
      </c>
      <c r="K16" s="233">
        <f t="shared" si="4"/>
        <v>0</v>
      </c>
      <c r="L16" s="76">
        <f t="shared" si="5"/>
        <v>0</v>
      </c>
      <c r="M16" s="33" t="str">
        <f>IF($B16=0, "", VLOOKUP($B16, B_meta!$A:$B, 2, 0))</f>
        <v/>
      </c>
      <c r="R16" s="18" t="s">
        <v>145</v>
      </c>
    </row>
    <row r="17" spans="1:18" x14ac:dyDescent="0.3">
      <c r="A17" s="82"/>
      <c r="B17" s="17"/>
      <c r="C17" s="17"/>
      <c r="D17" s="32"/>
      <c r="E17" s="32"/>
      <c r="F17" s="32"/>
      <c r="G17" s="83"/>
      <c r="H17" s="76">
        <f t="shared" si="1"/>
        <v>0</v>
      </c>
      <c r="I17" s="75">
        <f t="shared" si="2"/>
        <v>0</v>
      </c>
      <c r="J17" s="89">
        <f t="shared" si="3"/>
        <v>0</v>
      </c>
      <c r="K17" s="233">
        <f t="shared" si="4"/>
        <v>0</v>
      </c>
      <c r="L17" s="76">
        <f t="shared" si="5"/>
        <v>0</v>
      </c>
      <c r="M17" s="33" t="str">
        <f>IF($B17=0, "", VLOOKUP($B17, B_meta!$A:$B, 2, 0))</f>
        <v/>
      </c>
      <c r="R17" s="18" t="s">
        <v>146</v>
      </c>
    </row>
    <row r="18" spans="1:18" x14ac:dyDescent="0.3">
      <c r="A18" s="82"/>
      <c r="B18" s="17"/>
      <c r="C18" s="17"/>
      <c r="D18" s="32"/>
      <c r="E18" s="32"/>
      <c r="F18" s="32"/>
      <c r="G18" s="83"/>
      <c r="H18" s="76">
        <f t="shared" si="1"/>
        <v>0</v>
      </c>
      <c r="I18" s="75">
        <f t="shared" si="2"/>
        <v>0</v>
      </c>
      <c r="J18" s="89">
        <f t="shared" si="3"/>
        <v>0</v>
      </c>
      <c r="K18" s="233">
        <f t="shared" si="4"/>
        <v>0</v>
      </c>
      <c r="L18" s="76">
        <f t="shared" si="5"/>
        <v>0</v>
      </c>
      <c r="M18" s="33" t="str">
        <f>IF($B18=0, "", VLOOKUP($B18, B_meta!$A:$B, 2, 0))</f>
        <v/>
      </c>
      <c r="R18" s="18" t="s">
        <v>147</v>
      </c>
    </row>
    <row r="19" spans="1:18" x14ac:dyDescent="0.3">
      <c r="A19" s="82"/>
      <c r="B19" s="17"/>
      <c r="C19" s="17"/>
      <c r="D19" s="32"/>
      <c r="E19" s="32"/>
      <c r="F19" s="32"/>
      <c r="G19" s="83"/>
      <c r="H19" s="76">
        <f t="shared" si="1"/>
        <v>0</v>
      </c>
      <c r="I19" s="75">
        <f t="shared" si="2"/>
        <v>0</v>
      </c>
      <c r="J19" s="89">
        <f t="shared" si="3"/>
        <v>0</v>
      </c>
      <c r="K19" s="233">
        <f t="shared" si="4"/>
        <v>0</v>
      </c>
      <c r="L19" s="76">
        <f t="shared" si="5"/>
        <v>0</v>
      </c>
      <c r="M19" s="33" t="str">
        <f>IF($B19=0, "", VLOOKUP($B19, B_meta!$A:$B, 2, 0))</f>
        <v/>
      </c>
      <c r="R19" s="18" t="s">
        <v>148</v>
      </c>
    </row>
    <row r="20" spans="1:18" x14ac:dyDescent="0.3">
      <c r="A20" s="82"/>
      <c r="B20" s="17"/>
      <c r="C20" s="17"/>
      <c r="D20" s="32"/>
      <c r="E20" s="32"/>
      <c r="F20" s="32"/>
      <c r="G20" s="83"/>
      <c r="H20" s="76">
        <f t="shared" si="1"/>
        <v>0</v>
      </c>
      <c r="I20" s="75">
        <f t="shared" si="2"/>
        <v>0</v>
      </c>
      <c r="J20" s="89">
        <f t="shared" si="3"/>
        <v>0</v>
      </c>
      <c r="K20" s="233">
        <f t="shared" si="4"/>
        <v>0</v>
      </c>
      <c r="L20" s="76">
        <f t="shared" si="5"/>
        <v>0</v>
      </c>
      <c r="M20" s="33" t="str">
        <f>IF($B20=0, "", VLOOKUP($B20, B_meta!$A:$B, 2, 0))</f>
        <v/>
      </c>
      <c r="R20" s="18" t="s">
        <v>150</v>
      </c>
    </row>
    <row r="21" spans="1:18" x14ac:dyDescent="0.3">
      <c r="A21" s="82"/>
      <c r="B21" s="17"/>
      <c r="C21" s="17"/>
      <c r="D21" s="32"/>
      <c r="E21" s="32"/>
      <c r="F21" s="32"/>
      <c r="G21" s="83"/>
      <c r="H21" s="76">
        <f t="shared" si="1"/>
        <v>0</v>
      </c>
      <c r="I21" s="75">
        <f t="shared" si="2"/>
        <v>0</v>
      </c>
      <c r="J21" s="89">
        <f t="shared" si="3"/>
        <v>0</v>
      </c>
      <c r="K21" s="233">
        <f t="shared" si="4"/>
        <v>0</v>
      </c>
      <c r="L21" s="76">
        <f t="shared" si="5"/>
        <v>0</v>
      </c>
      <c r="M21" s="33" t="str">
        <f>IF($B21=0, "", VLOOKUP($B21, B_meta!$A:$B, 2, 0))</f>
        <v/>
      </c>
      <c r="R21" s="18" t="s">
        <v>151</v>
      </c>
    </row>
    <row r="22" spans="1:18" x14ac:dyDescent="0.3">
      <c r="A22" s="82"/>
      <c r="B22" s="17"/>
      <c r="C22" s="17"/>
      <c r="D22" s="32"/>
      <c r="E22" s="32"/>
      <c r="F22" s="32"/>
      <c r="G22" s="83"/>
      <c r="H22" s="76">
        <f>ROUND(E22*F22,2)</f>
        <v>0</v>
      </c>
      <c r="I22" s="75">
        <f t="shared" si="2"/>
        <v>0</v>
      </c>
      <c r="J22" s="89">
        <f t="shared" si="3"/>
        <v>0</v>
      </c>
      <c r="K22" s="233">
        <f t="shared" si="4"/>
        <v>0</v>
      </c>
      <c r="L22" s="76">
        <f t="shared" si="5"/>
        <v>0</v>
      </c>
      <c r="M22" s="33" t="str">
        <f>IF($B22=0, "", VLOOKUP($B22, B_meta!$A:$B, 2, 0))</f>
        <v/>
      </c>
      <c r="R22" s="18" t="s">
        <v>152</v>
      </c>
    </row>
    <row r="23" spans="1:18" x14ac:dyDescent="0.3">
      <c r="A23" s="82"/>
      <c r="B23" s="17"/>
      <c r="C23" s="17"/>
      <c r="D23" s="32"/>
      <c r="E23" s="32"/>
      <c r="F23" s="32"/>
      <c r="G23" s="83"/>
      <c r="H23" s="76">
        <f t="shared" si="1"/>
        <v>0</v>
      </c>
      <c r="I23" s="75">
        <f t="shared" si="2"/>
        <v>0</v>
      </c>
      <c r="J23" s="89">
        <f t="shared" si="3"/>
        <v>0</v>
      </c>
      <c r="K23" s="233">
        <f t="shared" si="4"/>
        <v>0</v>
      </c>
      <c r="L23" s="76">
        <f t="shared" si="5"/>
        <v>0</v>
      </c>
      <c r="M23" s="33" t="str">
        <f>IF($B23=0, "", VLOOKUP($B23, B_meta!$A:$B, 2, 0))</f>
        <v/>
      </c>
      <c r="R23" s="18" t="s">
        <v>153</v>
      </c>
    </row>
    <row r="24" spans="1:18" x14ac:dyDescent="0.3">
      <c r="A24" s="82"/>
      <c r="B24" s="17"/>
      <c r="C24" s="17"/>
      <c r="D24" s="32"/>
      <c r="E24" s="32"/>
      <c r="F24" s="32"/>
      <c r="G24" s="83"/>
      <c r="H24" s="76">
        <f t="shared" si="1"/>
        <v>0</v>
      </c>
      <c r="I24" s="75">
        <f t="shared" si="2"/>
        <v>0</v>
      </c>
      <c r="J24" s="89">
        <f t="shared" si="3"/>
        <v>0</v>
      </c>
      <c r="K24" s="233">
        <f t="shared" si="4"/>
        <v>0</v>
      </c>
      <c r="L24" s="76">
        <f t="shared" si="5"/>
        <v>0</v>
      </c>
      <c r="M24" s="33" t="str">
        <f>IF($B24=0, "", VLOOKUP($B24, B_meta!$A:$B, 2, 0))</f>
        <v/>
      </c>
      <c r="R24" s="18" t="s">
        <v>154</v>
      </c>
    </row>
    <row r="25" spans="1:18" x14ac:dyDescent="0.3">
      <c r="A25" s="82"/>
      <c r="B25" s="17"/>
      <c r="C25" s="17"/>
      <c r="D25" s="32"/>
      <c r="E25" s="32"/>
      <c r="F25" s="32"/>
      <c r="G25" s="83"/>
      <c r="H25" s="76">
        <f t="shared" si="1"/>
        <v>0</v>
      </c>
      <c r="I25" s="75">
        <f t="shared" si="2"/>
        <v>0</v>
      </c>
      <c r="J25" s="89">
        <f t="shared" si="3"/>
        <v>0</v>
      </c>
      <c r="K25" s="233">
        <f t="shared" si="4"/>
        <v>0</v>
      </c>
      <c r="L25" s="76">
        <f t="shared" si="5"/>
        <v>0</v>
      </c>
      <c r="M25" s="33" t="str">
        <f>IF($B25=0, "", VLOOKUP($B25, B_meta!$A:$B, 2, 0))</f>
        <v/>
      </c>
      <c r="R25" s="18" t="s">
        <v>155</v>
      </c>
    </row>
    <row r="26" spans="1:18" x14ac:dyDescent="0.3">
      <c r="A26" s="82"/>
      <c r="B26" s="17"/>
      <c r="C26" s="17"/>
      <c r="D26" s="32"/>
      <c r="E26" s="32"/>
      <c r="F26" s="32"/>
      <c r="G26" s="83"/>
      <c r="H26" s="76">
        <f t="shared" si="1"/>
        <v>0</v>
      </c>
      <c r="I26" s="75">
        <f t="shared" si="2"/>
        <v>0</v>
      </c>
      <c r="J26" s="89">
        <f t="shared" si="3"/>
        <v>0</v>
      </c>
      <c r="K26" s="233">
        <f t="shared" si="4"/>
        <v>0</v>
      </c>
      <c r="L26" s="76">
        <f t="shared" si="5"/>
        <v>0</v>
      </c>
      <c r="M26" s="33" t="str">
        <f>IF($B26=0, "", VLOOKUP($B26, B_meta!$A:$B, 2, 0))</f>
        <v/>
      </c>
      <c r="R26" s="18" t="s">
        <v>156</v>
      </c>
    </row>
    <row r="27" spans="1:18" x14ac:dyDescent="0.3">
      <c r="A27" s="82"/>
      <c r="B27" s="17"/>
      <c r="C27" s="17"/>
      <c r="D27" s="32"/>
      <c r="E27" s="32"/>
      <c r="F27" s="32"/>
      <c r="G27" s="83"/>
      <c r="H27" s="76">
        <f t="shared" si="1"/>
        <v>0</v>
      </c>
      <c r="I27" s="75">
        <f t="shared" si="2"/>
        <v>0</v>
      </c>
      <c r="J27" s="89">
        <f t="shared" si="3"/>
        <v>0</v>
      </c>
      <c r="K27" s="233">
        <f t="shared" si="4"/>
        <v>0</v>
      </c>
      <c r="L27" s="76">
        <f t="shared" si="5"/>
        <v>0</v>
      </c>
      <c r="M27" s="33" t="str">
        <f>IF($B27=0, "", VLOOKUP($B27, B_meta!$A:$B, 2, 0))</f>
        <v/>
      </c>
      <c r="R27" s="18" t="s">
        <v>157</v>
      </c>
    </row>
    <row r="28" spans="1:18" x14ac:dyDescent="0.3">
      <c r="A28" s="82"/>
      <c r="B28" s="17"/>
      <c r="C28" s="17"/>
      <c r="D28" s="32"/>
      <c r="E28" s="32"/>
      <c r="F28" s="32"/>
      <c r="G28" s="83"/>
      <c r="H28" s="76">
        <f t="shared" si="1"/>
        <v>0</v>
      </c>
      <c r="I28" s="75">
        <f t="shared" si="2"/>
        <v>0</v>
      </c>
      <c r="J28" s="89">
        <f t="shared" si="3"/>
        <v>0</v>
      </c>
      <c r="K28" s="233">
        <f t="shared" si="4"/>
        <v>0</v>
      </c>
      <c r="L28" s="76">
        <f t="shared" si="5"/>
        <v>0</v>
      </c>
      <c r="M28" s="33" t="str">
        <f>IF($B28=0, "", VLOOKUP($B28, B_meta!$A:$B, 2, 0))</f>
        <v/>
      </c>
      <c r="R28" s="18" t="s">
        <v>158</v>
      </c>
    </row>
    <row r="29" spans="1:18" x14ac:dyDescent="0.3">
      <c r="A29" s="82"/>
      <c r="B29" s="17"/>
      <c r="C29" s="17"/>
      <c r="D29" s="32"/>
      <c r="E29" s="32"/>
      <c r="F29" s="32"/>
      <c r="G29" s="83"/>
      <c r="H29" s="76">
        <f t="shared" si="1"/>
        <v>0</v>
      </c>
      <c r="I29" s="75">
        <f t="shared" si="2"/>
        <v>0</v>
      </c>
      <c r="J29" s="89">
        <f t="shared" si="3"/>
        <v>0</v>
      </c>
      <c r="K29" s="233">
        <f t="shared" si="4"/>
        <v>0</v>
      </c>
      <c r="L29" s="76">
        <f t="shared" si="5"/>
        <v>0</v>
      </c>
      <c r="M29" s="33" t="str">
        <f>IF($B29=0, "", VLOOKUP($B29, B_meta!$A:$B, 2, 0))</f>
        <v/>
      </c>
      <c r="R29" s="18" t="s">
        <v>159</v>
      </c>
    </row>
    <row r="30" spans="1:18" x14ac:dyDescent="0.3">
      <c r="A30" s="82"/>
      <c r="B30" s="17"/>
      <c r="C30" s="17"/>
      <c r="D30" s="32"/>
      <c r="E30" s="32"/>
      <c r="F30" s="32"/>
      <c r="G30" s="83"/>
      <c r="H30" s="76">
        <f t="shared" si="1"/>
        <v>0</v>
      </c>
      <c r="I30" s="75">
        <f t="shared" si="2"/>
        <v>0</v>
      </c>
      <c r="J30" s="89">
        <f t="shared" si="3"/>
        <v>0</v>
      </c>
      <c r="K30" s="233">
        <f t="shared" si="4"/>
        <v>0</v>
      </c>
      <c r="L30" s="76">
        <f t="shared" si="5"/>
        <v>0</v>
      </c>
      <c r="M30" s="33" t="str">
        <f>IF($B30=0, "", VLOOKUP($B30, B_meta!$A:$B, 2, 0))</f>
        <v/>
      </c>
      <c r="R30" s="18" t="s">
        <v>160</v>
      </c>
    </row>
    <row r="31" spans="1:18" x14ac:dyDescent="0.3">
      <c r="A31" s="82"/>
      <c r="B31" s="17"/>
      <c r="C31" s="17"/>
      <c r="D31" s="32"/>
      <c r="E31" s="32"/>
      <c r="F31" s="32"/>
      <c r="G31" s="83"/>
      <c r="H31" s="76">
        <f t="shared" si="1"/>
        <v>0</v>
      </c>
      <c r="I31" s="75">
        <f t="shared" si="2"/>
        <v>0</v>
      </c>
      <c r="J31" s="89">
        <f t="shared" si="3"/>
        <v>0</v>
      </c>
      <c r="K31" s="233">
        <f t="shared" si="4"/>
        <v>0</v>
      </c>
      <c r="L31" s="76">
        <f t="shared" si="5"/>
        <v>0</v>
      </c>
      <c r="M31" s="33" t="str">
        <f>IF($B31=0, "", VLOOKUP($B31, B_meta!$A:$B, 2, 0))</f>
        <v/>
      </c>
      <c r="R31" s="18" t="s">
        <v>161</v>
      </c>
    </row>
    <row r="32" spans="1:18" x14ac:dyDescent="0.3">
      <c r="A32" s="82"/>
      <c r="B32" s="17"/>
      <c r="C32" s="17"/>
      <c r="D32" s="32"/>
      <c r="E32" s="32"/>
      <c r="F32" s="32"/>
      <c r="G32" s="83"/>
      <c r="H32" s="76">
        <f t="shared" si="1"/>
        <v>0</v>
      </c>
      <c r="I32" s="75">
        <f t="shared" si="2"/>
        <v>0</v>
      </c>
      <c r="J32" s="89">
        <f t="shared" si="3"/>
        <v>0</v>
      </c>
      <c r="K32" s="233">
        <f t="shared" si="4"/>
        <v>0</v>
      </c>
      <c r="L32" s="76">
        <f t="shared" si="5"/>
        <v>0</v>
      </c>
      <c r="M32" s="33" t="str">
        <f>IF($B32=0, "", VLOOKUP($B32, B_meta!$A:$B, 2, 0))</f>
        <v/>
      </c>
      <c r="R32" s="18" t="s">
        <v>163</v>
      </c>
    </row>
    <row r="33" spans="1:18" x14ac:dyDescent="0.3">
      <c r="A33" s="82"/>
      <c r="B33" s="17"/>
      <c r="C33" s="17"/>
      <c r="D33" s="32"/>
      <c r="E33" s="32"/>
      <c r="F33" s="32"/>
      <c r="G33" s="83"/>
      <c r="H33" s="76">
        <f t="shared" si="1"/>
        <v>0</v>
      </c>
      <c r="I33" s="75">
        <f t="shared" si="2"/>
        <v>0</v>
      </c>
      <c r="J33" s="89">
        <f t="shared" si="3"/>
        <v>0</v>
      </c>
      <c r="K33" s="233">
        <f t="shared" si="4"/>
        <v>0</v>
      </c>
      <c r="L33" s="76">
        <f t="shared" si="5"/>
        <v>0</v>
      </c>
      <c r="M33" s="33" t="str">
        <f>IF($B33=0, "", VLOOKUP($B33, B_meta!$A:$B, 2, 0))</f>
        <v/>
      </c>
      <c r="R33" s="18" t="s">
        <v>164</v>
      </c>
    </row>
    <row r="34" spans="1:18" x14ac:dyDescent="0.3">
      <c r="A34" s="82"/>
      <c r="B34" s="17"/>
      <c r="C34" s="17"/>
      <c r="D34" s="32"/>
      <c r="E34" s="32"/>
      <c r="F34" s="32"/>
      <c r="G34" s="83"/>
      <c r="H34" s="76">
        <f t="shared" si="1"/>
        <v>0</v>
      </c>
      <c r="I34" s="75">
        <f t="shared" si="2"/>
        <v>0</v>
      </c>
      <c r="J34" s="89">
        <f t="shared" si="3"/>
        <v>0</v>
      </c>
      <c r="K34" s="233">
        <f t="shared" si="4"/>
        <v>0</v>
      </c>
      <c r="L34" s="76">
        <f t="shared" si="5"/>
        <v>0</v>
      </c>
      <c r="M34" s="33" t="str">
        <f>IF($B34=0, "", VLOOKUP($B34, B_meta!$A:$B, 2, 0))</f>
        <v/>
      </c>
      <c r="R34" s="18" t="s">
        <v>165</v>
      </c>
    </row>
    <row r="35" spans="1:18" x14ac:dyDescent="0.3">
      <c r="A35" s="82"/>
      <c r="B35" s="17"/>
      <c r="C35" s="17"/>
      <c r="D35" s="32"/>
      <c r="E35" s="32"/>
      <c r="F35" s="32"/>
      <c r="G35" s="83"/>
      <c r="H35" s="76">
        <f t="shared" si="1"/>
        <v>0</v>
      </c>
      <c r="I35" s="75">
        <f t="shared" si="2"/>
        <v>0</v>
      </c>
      <c r="J35" s="89">
        <f t="shared" si="3"/>
        <v>0</v>
      </c>
      <c r="K35" s="233">
        <f t="shared" si="4"/>
        <v>0</v>
      </c>
      <c r="L35" s="76">
        <f t="shared" si="5"/>
        <v>0</v>
      </c>
      <c r="M35" s="33" t="str">
        <f>IF($B35=0, "", VLOOKUP($B35, B_meta!$A:$B, 2, 0))</f>
        <v/>
      </c>
      <c r="R35" s="18" t="s">
        <v>166</v>
      </c>
    </row>
    <row r="36" spans="1:18" x14ac:dyDescent="0.3">
      <c r="A36" s="82"/>
      <c r="B36" s="17"/>
      <c r="C36" s="17"/>
      <c r="D36" s="32"/>
      <c r="E36" s="32"/>
      <c r="F36" s="32"/>
      <c r="G36" s="83"/>
      <c r="H36" s="76">
        <f t="shared" si="1"/>
        <v>0</v>
      </c>
      <c r="I36" s="75">
        <f t="shared" si="2"/>
        <v>0</v>
      </c>
      <c r="J36" s="89">
        <f t="shared" si="3"/>
        <v>0</v>
      </c>
      <c r="K36" s="233">
        <f t="shared" si="4"/>
        <v>0</v>
      </c>
      <c r="L36" s="76">
        <f t="shared" si="5"/>
        <v>0</v>
      </c>
      <c r="M36" s="33" t="str">
        <f>IF($B36=0, "", VLOOKUP($B36, B_meta!$A:$B, 2, 0))</f>
        <v/>
      </c>
    </row>
    <row r="37" spans="1:18" x14ac:dyDescent="0.3">
      <c r="A37" s="82"/>
      <c r="B37" s="17"/>
      <c r="C37" s="17"/>
      <c r="D37" s="32"/>
      <c r="E37" s="32"/>
      <c r="F37" s="32"/>
      <c r="G37" s="83"/>
      <c r="H37" s="76">
        <f t="shared" si="1"/>
        <v>0</v>
      </c>
      <c r="I37" s="75">
        <f t="shared" si="2"/>
        <v>0</v>
      </c>
      <c r="J37" s="89">
        <f t="shared" si="3"/>
        <v>0</v>
      </c>
      <c r="K37" s="233">
        <f t="shared" si="4"/>
        <v>0</v>
      </c>
      <c r="L37" s="76">
        <f t="shared" si="5"/>
        <v>0</v>
      </c>
      <c r="M37" s="33" t="str">
        <f>IF($B37=0, "", VLOOKUP($B37, B_meta!$A:$B, 2, 0))</f>
        <v/>
      </c>
    </row>
    <row r="38" spans="1:18" x14ac:dyDescent="0.3">
      <c r="A38" s="82"/>
      <c r="B38" s="17"/>
      <c r="C38" s="17"/>
      <c r="D38" s="32"/>
      <c r="E38" s="32"/>
      <c r="F38" s="32"/>
      <c r="G38" s="83"/>
      <c r="H38" s="76">
        <f t="shared" si="1"/>
        <v>0</v>
      </c>
      <c r="I38" s="75">
        <f t="shared" si="2"/>
        <v>0</v>
      </c>
      <c r="J38" s="89">
        <f t="shared" si="3"/>
        <v>0</v>
      </c>
      <c r="K38" s="233">
        <f t="shared" si="4"/>
        <v>0</v>
      </c>
      <c r="L38" s="76">
        <f t="shared" si="5"/>
        <v>0</v>
      </c>
      <c r="M38" s="33" t="str">
        <f>IF($B38=0, "", VLOOKUP($B38, B_meta!$A:$B, 2, 0))</f>
        <v/>
      </c>
    </row>
    <row r="39" spans="1:18" x14ac:dyDescent="0.3">
      <c r="A39" s="82"/>
      <c r="B39" s="17"/>
      <c r="C39" s="17"/>
      <c r="D39" s="32"/>
      <c r="E39" s="32"/>
      <c r="F39" s="32"/>
      <c r="G39" s="83"/>
      <c r="H39" s="76">
        <f t="shared" si="1"/>
        <v>0</v>
      </c>
      <c r="I39" s="75">
        <f t="shared" si="2"/>
        <v>0</v>
      </c>
      <c r="J39" s="89">
        <f t="shared" si="3"/>
        <v>0</v>
      </c>
      <c r="K39" s="233">
        <f t="shared" si="4"/>
        <v>0</v>
      </c>
      <c r="L39" s="76">
        <f t="shared" si="5"/>
        <v>0</v>
      </c>
      <c r="M39" s="33" t="str">
        <f>IF($B39=0, "", VLOOKUP($B39, B_meta!$A:$B, 2, 0))</f>
        <v/>
      </c>
    </row>
    <row r="40" spans="1:18" x14ac:dyDescent="0.3">
      <c r="A40" s="82"/>
      <c r="B40" s="17"/>
      <c r="C40" s="17"/>
      <c r="D40" s="32"/>
      <c r="E40" s="32"/>
      <c r="F40" s="32"/>
      <c r="G40" s="83"/>
      <c r="H40" s="76">
        <f t="shared" si="1"/>
        <v>0</v>
      </c>
      <c r="I40" s="75">
        <f t="shared" si="2"/>
        <v>0</v>
      </c>
      <c r="J40" s="89">
        <f t="shared" si="3"/>
        <v>0</v>
      </c>
      <c r="K40" s="233">
        <f t="shared" si="4"/>
        <v>0</v>
      </c>
      <c r="L40" s="76">
        <f t="shared" si="5"/>
        <v>0</v>
      </c>
      <c r="M40" s="33" t="str">
        <f>IF($B40=0, "", VLOOKUP($B40, B_meta!$A:$B, 2, 0))</f>
        <v/>
      </c>
    </row>
    <row r="41" spans="1:18" x14ac:dyDescent="0.3">
      <c r="A41" s="82"/>
      <c r="B41" s="17"/>
      <c r="C41" s="17"/>
      <c r="D41" s="32"/>
      <c r="E41" s="32"/>
      <c r="F41" s="32"/>
      <c r="G41" s="83"/>
      <c r="H41" s="76">
        <f t="shared" si="1"/>
        <v>0</v>
      </c>
      <c r="I41" s="75">
        <f t="shared" si="2"/>
        <v>0</v>
      </c>
      <c r="J41" s="89">
        <f t="shared" si="3"/>
        <v>0</v>
      </c>
      <c r="K41" s="233">
        <f t="shared" si="4"/>
        <v>0</v>
      </c>
      <c r="L41" s="76">
        <f t="shared" si="5"/>
        <v>0</v>
      </c>
      <c r="M41" s="33" t="str">
        <f>IF($B41=0, "", VLOOKUP($B41, B_meta!$A:$B, 2, 0))</f>
        <v/>
      </c>
    </row>
    <row r="42" spans="1:18" x14ac:dyDescent="0.3">
      <c r="A42" s="82"/>
      <c r="B42" s="17"/>
      <c r="C42" s="17"/>
      <c r="D42" s="32"/>
      <c r="E42" s="32"/>
      <c r="F42" s="32"/>
      <c r="G42" s="83"/>
      <c r="H42" s="76">
        <f t="shared" si="1"/>
        <v>0</v>
      </c>
      <c r="I42" s="75">
        <f t="shared" si="2"/>
        <v>0</v>
      </c>
      <c r="J42" s="89">
        <f t="shared" si="3"/>
        <v>0</v>
      </c>
      <c r="K42" s="233">
        <f t="shared" si="4"/>
        <v>0</v>
      </c>
      <c r="L42" s="76">
        <f t="shared" si="5"/>
        <v>0</v>
      </c>
      <c r="M42" s="33" t="str">
        <f>IF($B42=0, "", VLOOKUP($B42, B_meta!$A:$B, 2, 0))</f>
        <v/>
      </c>
    </row>
    <row r="43" spans="1:18" x14ac:dyDescent="0.3">
      <c r="A43" s="82"/>
      <c r="B43" s="17"/>
      <c r="C43" s="17"/>
      <c r="D43" s="32"/>
      <c r="E43" s="32"/>
      <c r="F43" s="32"/>
      <c r="G43" s="83"/>
      <c r="H43" s="76">
        <f t="shared" si="1"/>
        <v>0</v>
      </c>
      <c r="I43" s="75">
        <f t="shared" si="2"/>
        <v>0</v>
      </c>
      <c r="J43" s="89">
        <f t="shared" si="3"/>
        <v>0</v>
      </c>
      <c r="K43" s="233">
        <f t="shared" si="4"/>
        <v>0</v>
      </c>
      <c r="L43" s="76">
        <f t="shared" si="5"/>
        <v>0</v>
      </c>
      <c r="M43" s="33" t="str">
        <f>IF($B43=0, "", VLOOKUP($B43, B_meta!$A:$B, 2, 0))</f>
        <v/>
      </c>
    </row>
    <row r="44" spans="1:18" x14ac:dyDescent="0.3">
      <c r="A44" s="82"/>
      <c r="B44" s="17"/>
      <c r="C44" s="17"/>
      <c r="D44" s="32"/>
      <c r="E44" s="32"/>
      <c r="F44" s="32"/>
      <c r="G44" s="83"/>
      <c r="H44" s="76">
        <f t="shared" si="1"/>
        <v>0</v>
      </c>
      <c r="I44" s="75">
        <f t="shared" si="2"/>
        <v>0</v>
      </c>
      <c r="J44" s="89">
        <f t="shared" si="3"/>
        <v>0</v>
      </c>
      <c r="K44" s="233">
        <f t="shared" si="4"/>
        <v>0</v>
      </c>
      <c r="L44" s="76">
        <f t="shared" si="5"/>
        <v>0</v>
      </c>
      <c r="M44" s="33" t="str">
        <f>IF($B44=0, "", VLOOKUP($B44, B_meta!$A:$B, 2, 0))</f>
        <v/>
      </c>
    </row>
    <row r="45" spans="1:18" x14ac:dyDescent="0.3">
      <c r="A45" s="82"/>
      <c r="B45" s="17"/>
      <c r="C45" s="17"/>
      <c r="D45" s="32"/>
      <c r="E45" s="32"/>
      <c r="F45" s="32"/>
      <c r="G45" s="83"/>
      <c r="H45" s="76">
        <f t="shared" si="1"/>
        <v>0</v>
      </c>
      <c r="I45" s="75">
        <f t="shared" si="2"/>
        <v>0</v>
      </c>
      <c r="J45" s="89">
        <f t="shared" si="3"/>
        <v>0</v>
      </c>
      <c r="K45" s="233">
        <f t="shared" si="4"/>
        <v>0</v>
      </c>
      <c r="L45" s="76">
        <f t="shared" si="5"/>
        <v>0</v>
      </c>
      <c r="M45" s="33" t="str">
        <f>IF($B45=0, "", VLOOKUP($B45, B_meta!$A:$B, 2, 0))</f>
        <v/>
      </c>
    </row>
    <row r="46" spans="1:18" x14ac:dyDescent="0.3">
      <c r="A46" s="82"/>
      <c r="B46" s="17"/>
      <c r="C46" s="17"/>
      <c r="D46" s="32"/>
      <c r="E46" s="32"/>
      <c r="F46" s="32"/>
      <c r="G46" s="83"/>
      <c r="H46" s="76">
        <f t="shared" si="1"/>
        <v>0</v>
      </c>
      <c r="I46" s="75">
        <f t="shared" si="2"/>
        <v>0</v>
      </c>
      <c r="J46" s="89">
        <f t="shared" si="3"/>
        <v>0</v>
      </c>
      <c r="K46" s="233">
        <f t="shared" si="4"/>
        <v>0</v>
      </c>
      <c r="L46" s="76">
        <f t="shared" si="5"/>
        <v>0</v>
      </c>
      <c r="M46" s="33" t="str">
        <f>IF($B46=0, "", VLOOKUP($B46, B_meta!$A:$B, 2, 0))</f>
        <v/>
      </c>
    </row>
    <row r="47" spans="1:18" x14ac:dyDescent="0.3">
      <c r="A47" s="82"/>
      <c r="B47" s="17"/>
      <c r="C47" s="17"/>
      <c r="D47" s="32"/>
      <c r="E47" s="32"/>
      <c r="F47" s="32"/>
      <c r="G47" s="83"/>
      <c r="H47" s="76">
        <f t="shared" si="1"/>
        <v>0</v>
      </c>
      <c r="I47" s="75">
        <f t="shared" si="2"/>
        <v>0</v>
      </c>
      <c r="J47" s="89">
        <f t="shared" si="3"/>
        <v>0</v>
      </c>
      <c r="K47" s="233">
        <f t="shared" si="4"/>
        <v>0</v>
      </c>
      <c r="L47" s="76">
        <f t="shared" si="5"/>
        <v>0</v>
      </c>
      <c r="M47" s="33" t="str">
        <f>IF($B47=0, "", VLOOKUP($B47, B_meta!$A:$B, 2, 0))</f>
        <v/>
      </c>
    </row>
    <row r="48" spans="1:18" x14ac:dyDescent="0.3">
      <c r="A48" s="82"/>
      <c r="B48" s="17"/>
      <c r="C48" s="17"/>
      <c r="D48" s="32"/>
      <c r="E48" s="32"/>
      <c r="F48" s="32"/>
      <c r="G48" s="83"/>
      <c r="H48" s="76">
        <f t="shared" si="1"/>
        <v>0</v>
      </c>
      <c r="I48" s="75">
        <f t="shared" si="2"/>
        <v>0</v>
      </c>
      <c r="J48" s="89">
        <f t="shared" si="3"/>
        <v>0</v>
      </c>
      <c r="K48" s="233">
        <f t="shared" si="4"/>
        <v>0</v>
      </c>
      <c r="L48" s="76">
        <f t="shared" si="5"/>
        <v>0</v>
      </c>
      <c r="M48" s="33" t="str">
        <f>IF($B48=0, "", VLOOKUP($B48, B_meta!$A:$B, 2, 0))</f>
        <v/>
      </c>
    </row>
    <row r="49" spans="1:13" x14ac:dyDescent="0.3">
      <c r="A49" s="82"/>
      <c r="B49" s="17"/>
      <c r="C49" s="17"/>
      <c r="D49" s="32"/>
      <c r="E49" s="32"/>
      <c r="F49" s="32"/>
      <c r="G49" s="83"/>
      <c r="H49" s="76">
        <f t="shared" si="1"/>
        <v>0</v>
      </c>
      <c r="I49" s="75">
        <f t="shared" si="2"/>
        <v>0</v>
      </c>
      <c r="J49" s="89">
        <f t="shared" si="3"/>
        <v>0</v>
      </c>
      <c r="K49" s="233">
        <f t="shared" si="4"/>
        <v>0</v>
      </c>
      <c r="L49" s="76">
        <f t="shared" si="5"/>
        <v>0</v>
      </c>
      <c r="M49" s="33" t="str">
        <f>IF($B49=0, "", VLOOKUP($B49, B_meta!$A:$B, 2, 0))</f>
        <v/>
      </c>
    </row>
    <row r="50" spans="1:13" x14ac:dyDescent="0.3">
      <c r="A50" s="82"/>
      <c r="B50" s="17"/>
      <c r="C50" s="17"/>
      <c r="D50" s="32"/>
      <c r="E50" s="32"/>
      <c r="F50" s="32"/>
      <c r="G50" s="83"/>
      <c r="H50" s="76">
        <f t="shared" si="1"/>
        <v>0</v>
      </c>
      <c r="I50" s="75">
        <f t="shared" si="2"/>
        <v>0</v>
      </c>
      <c r="J50" s="89">
        <f t="shared" si="3"/>
        <v>0</v>
      </c>
      <c r="K50" s="233">
        <f t="shared" si="4"/>
        <v>0</v>
      </c>
      <c r="L50" s="76">
        <f t="shared" si="5"/>
        <v>0</v>
      </c>
      <c r="M50" s="33" t="str">
        <f>IF($B50=0, "", VLOOKUP($B50, B_meta!$A:$B, 2, 0))</f>
        <v/>
      </c>
    </row>
    <row r="51" spans="1:13" x14ac:dyDescent="0.3">
      <c r="A51" s="82"/>
      <c r="B51" s="17"/>
      <c r="C51" s="17"/>
      <c r="D51" s="32"/>
      <c r="E51" s="32"/>
      <c r="F51" s="32"/>
      <c r="G51" s="83"/>
      <c r="H51" s="76">
        <f t="shared" si="1"/>
        <v>0</v>
      </c>
      <c r="I51" s="75">
        <f t="shared" si="2"/>
        <v>0</v>
      </c>
      <c r="J51" s="89">
        <f t="shared" si="3"/>
        <v>0</v>
      </c>
      <c r="K51" s="233">
        <f t="shared" si="4"/>
        <v>0</v>
      </c>
      <c r="L51" s="76">
        <f t="shared" si="5"/>
        <v>0</v>
      </c>
      <c r="M51" s="33" t="str">
        <f>IF($B51=0, "", VLOOKUP($B51, B_meta!$A:$B, 2, 0))</f>
        <v/>
      </c>
    </row>
    <row r="52" spans="1:13" x14ac:dyDescent="0.3">
      <c r="A52" s="82"/>
      <c r="B52" s="17"/>
      <c r="C52" s="17"/>
      <c r="D52" s="32"/>
      <c r="E52" s="32"/>
      <c r="F52" s="32"/>
      <c r="G52" s="83"/>
      <c r="H52" s="76">
        <f t="shared" si="1"/>
        <v>0</v>
      </c>
      <c r="I52" s="75">
        <f t="shared" si="2"/>
        <v>0</v>
      </c>
      <c r="J52" s="89">
        <f t="shared" si="3"/>
        <v>0</v>
      </c>
      <c r="K52" s="233">
        <f t="shared" si="4"/>
        <v>0</v>
      </c>
      <c r="L52" s="76">
        <f t="shared" si="5"/>
        <v>0</v>
      </c>
      <c r="M52" s="33" t="str">
        <f>IF($B52=0, "", VLOOKUP($B52, B_meta!$A:$B, 2, 0))</f>
        <v/>
      </c>
    </row>
    <row r="53" spans="1:13" x14ac:dyDescent="0.3">
      <c r="A53" s="82"/>
      <c r="B53" s="17"/>
      <c r="C53" s="17"/>
      <c r="D53" s="32"/>
      <c r="E53" s="32"/>
      <c r="F53" s="32"/>
      <c r="G53" s="83"/>
      <c r="H53" s="76">
        <f t="shared" si="1"/>
        <v>0</v>
      </c>
      <c r="I53" s="75">
        <f t="shared" si="2"/>
        <v>0</v>
      </c>
      <c r="J53" s="89">
        <f t="shared" si="3"/>
        <v>0</v>
      </c>
      <c r="K53" s="233">
        <f t="shared" si="4"/>
        <v>0</v>
      </c>
      <c r="L53" s="76">
        <f t="shared" si="5"/>
        <v>0</v>
      </c>
      <c r="M53" s="33" t="str">
        <f>IF($B53=0, "", VLOOKUP($B53, B_meta!$A:$B, 2, 0))</f>
        <v/>
      </c>
    </row>
    <row r="54" spans="1:13" x14ac:dyDescent="0.3">
      <c r="A54" s="82"/>
      <c r="B54" s="17"/>
      <c r="C54" s="17"/>
      <c r="D54" s="32"/>
      <c r="E54" s="32"/>
      <c r="F54" s="32"/>
      <c r="G54" s="83"/>
      <c r="H54" s="76">
        <f t="shared" si="1"/>
        <v>0</v>
      </c>
      <c r="I54" s="75">
        <f t="shared" si="2"/>
        <v>0</v>
      </c>
      <c r="J54" s="89">
        <f t="shared" si="3"/>
        <v>0</v>
      </c>
      <c r="K54" s="233">
        <f t="shared" si="4"/>
        <v>0</v>
      </c>
      <c r="L54" s="76">
        <f t="shared" si="5"/>
        <v>0</v>
      </c>
      <c r="M54" s="33" t="str">
        <f>IF($B54=0, "", VLOOKUP($B54, B_meta!$A:$B, 2, 0))</f>
        <v/>
      </c>
    </row>
    <row r="55" spans="1:13" x14ac:dyDescent="0.3">
      <c r="A55" s="82"/>
      <c r="B55" s="17"/>
      <c r="C55" s="17"/>
      <c r="D55" s="32"/>
      <c r="E55" s="32"/>
      <c r="F55" s="32"/>
      <c r="G55" s="83"/>
      <c r="H55" s="76">
        <f t="shared" si="1"/>
        <v>0</v>
      </c>
      <c r="I55" s="75">
        <f t="shared" si="2"/>
        <v>0</v>
      </c>
      <c r="J55" s="89">
        <f t="shared" si="3"/>
        <v>0</v>
      </c>
      <c r="K55" s="233">
        <f t="shared" si="4"/>
        <v>0</v>
      </c>
      <c r="L55" s="76">
        <f t="shared" si="5"/>
        <v>0</v>
      </c>
      <c r="M55" s="33" t="str">
        <f>IF($B55=0, "", VLOOKUP($B55, B_meta!$A:$B, 2, 0))</f>
        <v/>
      </c>
    </row>
    <row r="56" spans="1:13" x14ac:dyDescent="0.3">
      <c r="A56" s="82"/>
      <c r="B56" s="17"/>
      <c r="C56" s="17"/>
      <c r="D56" s="32"/>
      <c r="E56" s="32"/>
      <c r="F56" s="32"/>
      <c r="G56" s="83"/>
      <c r="H56" s="76">
        <f t="shared" si="1"/>
        <v>0</v>
      </c>
      <c r="I56" s="75">
        <f t="shared" si="2"/>
        <v>0</v>
      </c>
      <c r="J56" s="89">
        <f t="shared" si="3"/>
        <v>0</v>
      </c>
      <c r="K56" s="233">
        <f t="shared" si="4"/>
        <v>0</v>
      </c>
      <c r="L56" s="76">
        <f t="shared" si="5"/>
        <v>0</v>
      </c>
      <c r="M56" s="33" t="str">
        <f>IF($B56=0, "", VLOOKUP($B56, B_meta!$A:$B, 2, 0))</f>
        <v/>
      </c>
    </row>
    <row r="57" spans="1:13" x14ac:dyDescent="0.3">
      <c r="A57" s="82"/>
      <c r="B57" s="17"/>
      <c r="C57" s="17"/>
      <c r="D57" s="32"/>
      <c r="E57" s="32"/>
      <c r="F57" s="32"/>
      <c r="G57" s="83"/>
      <c r="H57" s="76">
        <f t="shared" si="1"/>
        <v>0</v>
      </c>
      <c r="I57" s="75">
        <f t="shared" si="2"/>
        <v>0</v>
      </c>
      <c r="J57" s="89">
        <f t="shared" si="3"/>
        <v>0</v>
      </c>
      <c r="K57" s="233">
        <f t="shared" si="4"/>
        <v>0</v>
      </c>
      <c r="L57" s="76">
        <f t="shared" si="5"/>
        <v>0</v>
      </c>
      <c r="M57" s="33" t="str">
        <f>IF($B57=0, "", VLOOKUP($B57, B_meta!$A:$B, 2, 0))</f>
        <v/>
      </c>
    </row>
    <row r="58" spans="1:13" x14ac:dyDescent="0.3">
      <c r="A58" s="82"/>
      <c r="B58" s="17"/>
      <c r="C58" s="17"/>
      <c r="D58" s="32"/>
      <c r="E58" s="32"/>
      <c r="F58" s="32"/>
      <c r="G58" s="83"/>
      <c r="H58" s="76">
        <f t="shared" si="1"/>
        <v>0</v>
      </c>
      <c r="I58" s="75">
        <f t="shared" si="2"/>
        <v>0</v>
      </c>
      <c r="J58" s="89">
        <f t="shared" si="3"/>
        <v>0</v>
      </c>
      <c r="K58" s="233">
        <f t="shared" si="4"/>
        <v>0</v>
      </c>
      <c r="L58" s="76">
        <f t="shared" si="5"/>
        <v>0</v>
      </c>
      <c r="M58" s="33" t="str">
        <f>IF($B58=0, "", VLOOKUP($B58, B_meta!$A:$B, 2, 0))</f>
        <v/>
      </c>
    </row>
    <row r="59" spans="1:13" x14ac:dyDescent="0.3">
      <c r="A59" s="82"/>
      <c r="B59" s="17"/>
      <c r="C59" s="17"/>
      <c r="D59" s="32"/>
      <c r="E59" s="32"/>
      <c r="F59" s="32"/>
      <c r="G59" s="83"/>
      <c r="H59" s="76">
        <f t="shared" si="1"/>
        <v>0</v>
      </c>
      <c r="I59" s="75">
        <f t="shared" si="2"/>
        <v>0</v>
      </c>
      <c r="J59" s="89">
        <f t="shared" si="3"/>
        <v>0</v>
      </c>
      <c r="K59" s="233">
        <f t="shared" si="4"/>
        <v>0</v>
      </c>
      <c r="L59" s="76">
        <f t="shared" si="5"/>
        <v>0</v>
      </c>
      <c r="M59" s="33" t="str">
        <f>IF($B59=0, "", VLOOKUP($B59, B_meta!$A:$B, 2, 0))</f>
        <v/>
      </c>
    </row>
    <row r="60" spans="1:13" x14ac:dyDescent="0.3">
      <c r="A60" s="82"/>
      <c r="B60" s="17"/>
      <c r="C60" s="17"/>
      <c r="D60" s="32"/>
      <c r="E60" s="32"/>
      <c r="F60" s="32"/>
      <c r="G60" s="83"/>
      <c r="H60" s="76">
        <f t="shared" si="1"/>
        <v>0</v>
      </c>
      <c r="I60" s="75">
        <f t="shared" si="2"/>
        <v>0</v>
      </c>
      <c r="J60" s="89">
        <f t="shared" si="3"/>
        <v>0</v>
      </c>
      <c r="K60" s="233">
        <f t="shared" si="4"/>
        <v>0</v>
      </c>
      <c r="L60" s="76">
        <f t="shared" si="5"/>
        <v>0</v>
      </c>
      <c r="M60" s="33" t="str">
        <f>IF($B60=0, "", VLOOKUP($B60, B_meta!$A:$B, 2, 0))</f>
        <v/>
      </c>
    </row>
    <row r="61" spans="1:13" x14ac:dyDescent="0.3">
      <c r="B61" s="251" t="s">
        <v>167</v>
      </c>
      <c r="C61" s="252"/>
      <c r="D61" s="252"/>
      <c r="E61" s="252"/>
      <c r="F61" s="252"/>
      <c r="G61" s="253"/>
      <c r="H61" s="34">
        <f>SUM(H12:H60)</f>
        <v>50000</v>
      </c>
      <c r="I61" s="34">
        <f>SUM(I12:I60)</f>
        <v>0</v>
      </c>
      <c r="J61" s="231">
        <f>SUM(J12:J60)</f>
        <v>50000</v>
      </c>
      <c r="K61" s="234">
        <f>SUM(K12:K60)</f>
        <v>50000</v>
      </c>
      <c r="L61" s="232">
        <f>SUM(L12:L60)</f>
        <v>0</v>
      </c>
    </row>
  </sheetData>
  <sheetProtection algorithmName="SHA-512" hashValue="/vCEVIR8nXNP6I93WCihlnt1aSkVGNklzCqZmfcOD3bvipSt7A712SjulM2WQdcVkDP7fZwsvtG1UbAFWRpHhw==" saltValue="I0WVG3b2gjPLlK3QcqhxqQ==" spinCount="100000" sheet="1" objects="1" scenarios="1"/>
  <mergeCells count="5">
    <mergeCell ref="C6:F6"/>
    <mergeCell ref="C7:F7"/>
    <mergeCell ref="C8:F8"/>
    <mergeCell ref="C9:F9"/>
    <mergeCell ref="B61:G61"/>
  </mergeCells>
  <dataValidations count="2">
    <dataValidation type="list" allowBlank="1" showInputMessage="1" showErrorMessage="1" sqref="G12:G60" xr:uid="{1755AA3D-1EA1-42F4-8B59-9773100A3CD7}">
      <formula1>"0%, 9%, 19%"</formula1>
    </dataValidation>
    <dataValidation type="list" allowBlank="1" showInputMessage="1" showErrorMessage="1" sqref="B12:B60" xr:uid="{15912355-5716-4FFD-B1A2-2573B446E8D0}">
      <formula1>$R$12:$R$35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F9B1-62F2-4355-A29E-D7C6A52EF539}">
  <dimension ref="A1:B24"/>
  <sheetViews>
    <sheetView workbookViewId="0">
      <selection activeCell="A24" sqref="A1:A24"/>
    </sheetView>
  </sheetViews>
  <sheetFormatPr defaultColWidth="9.109375" defaultRowHeight="14.4" x14ac:dyDescent="0.3"/>
  <cols>
    <col min="1" max="1" width="76.44140625" style="11" customWidth="1" collapsed="1"/>
    <col min="2" max="2" width="27.44140625" style="11" customWidth="1" collapsed="1"/>
    <col min="3" max="16384" width="9.109375" style="11" collapsed="1"/>
  </cols>
  <sheetData>
    <row r="1" spans="1:2" x14ac:dyDescent="0.3">
      <c r="A1" s="13" t="s">
        <v>140</v>
      </c>
      <c r="B1" s="13" t="s">
        <v>168</v>
      </c>
    </row>
    <row r="2" spans="1:2" x14ac:dyDescent="0.3">
      <c r="A2" s="13" t="s">
        <v>141</v>
      </c>
      <c r="B2" s="13" t="s">
        <v>168</v>
      </c>
    </row>
    <row r="3" spans="1:2" ht="28.8" x14ac:dyDescent="0.3">
      <c r="A3" s="13" t="s">
        <v>142</v>
      </c>
      <c r="B3" s="13" t="s">
        <v>168</v>
      </c>
    </row>
    <row r="4" spans="1:2" x14ac:dyDescent="0.3">
      <c r="A4" s="13" t="s">
        <v>144</v>
      </c>
      <c r="B4" s="13" t="s">
        <v>169</v>
      </c>
    </row>
    <row r="5" spans="1:2" x14ac:dyDescent="0.3">
      <c r="A5" s="13" t="s">
        <v>145</v>
      </c>
      <c r="B5" s="13" t="s">
        <v>169</v>
      </c>
    </row>
    <row r="6" spans="1:2" x14ac:dyDescent="0.3">
      <c r="A6" s="13" t="s">
        <v>146</v>
      </c>
      <c r="B6" s="13" t="s">
        <v>169</v>
      </c>
    </row>
    <row r="7" spans="1:2" x14ac:dyDescent="0.3">
      <c r="A7" s="13" t="s">
        <v>147</v>
      </c>
      <c r="B7" s="13" t="s">
        <v>169</v>
      </c>
    </row>
    <row r="8" spans="1:2" ht="28.8" x14ac:dyDescent="0.3">
      <c r="A8" s="13" t="s">
        <v>148</v>
      </c>
      <c r="B8" s="13" t="s">
        <v>171</v>
      </c>
    </row>
    <row r="9" spans="1:2" ht="28.8" x14ac:dyDescent="0.3">
      <c r="A9" s="13" t="s">
        <v>150</v>
      </c>
      <c r="B9" s="13" t="s">
        <v>170</v>
      </c>
    </row>
    <row r="10" spans="1:2" ht="28.8" x14ac:dyDescent="0.3">
      <c r="A10" s="13" t="s">
        <v>151</v>
      </c>
      <c r="B10" s="13" t="s">
        <v>172</v>
      </c>
    </row>
    <row r="11" spans="1:2" ht="28.8" x14ac:dyDescent="0.3">
      <c r="A11" s="13" t="s">
        <v>152</v>
      </c>
      <c r="B11" s="13" t="s">
        <v>173</v>
      </c>
    </row>
    <row r="12" spans="1:2" ht="43.2" x14ac:dyDescent="0.3">
      <c r="A12" s="13" t="s">
        <v>153</v>
      </c>
      <c r="B12" s="13" t="s">
        <v>171</v>
      </c>
    </row>
    <row r="13" spans="1:2" x14ac:dyDescent="0.3">
      <c r="A13" s="13" t="s">
        <v>154</v>
      </c>
      <c r="B13" s="13" t="s">
        <v>173</v>
      </c>
    </row>
    <row r="14" spans="1:2" x14ac:dyDescent="0.3">
      <c r="A14" s="13" t="s">
        <v>155</v>
      </c>
      <c r="B14" s="13" t="s">
        <v>173</v>
      </c>
    </row>
    <row r="15" spans="1:2" ht="28.8" x14ac:dyDescent="0.3">
      <c r="A15" s="13" t="s">
        <v>156</v>
      </c>
      <c r="B15" s="13" t="s">
        <v>173</v>
      </c>
    </row>
    <row r="16" spans="1:2" x14ac:dyDescent="0.3">
      <c r="A16" s="13" t="s">
        <v>157</v>
      </c>
      <c r="B16" s="13" t="s">
        <v>173</v>
      </c>
    </row>
    <row r="17" spans="1:2" x14ac:dyDescent="0.3">
      <c r="A17" s="13" t="s">
        <v>158</v>
      </c>
      <c r="B17" s="13" t="s">
        <v>173</v>
      </c>
    </row>
    <row r="18" spans="1:2" x14ac:dyDescent="0.3">
      <c r="A18" s="13" t="s">
        <v>159</v>
      </c>
      <c r="B18" s="13" t="s">
        <v>173</v>
      </c>
    </row>
    <row r="19" spans="1:2" x14ac:dyDescent="0.3">
      <c r="A19" s="13" t="s">
        <v>160</v>
      </c>
      <c r="B19" s="13" t="s">
        <v>173</v>
      </c>
    </row>
    <row r="20" spans="1:2" x14ac:dyDescent="0.3">
      <c r="A20" s="13" t="s">
        <v>161</v>
      </c>
      <c r="B20" s="13" t="s">
        <v>173</v>
      </c>
    </row>
    <row r="21" spans="1:2" x14ac:dyDescent="0.3">
      <c r="A21" s="13" t="s">
        <v>163</v>
      </c>
      <c r="B21" s="13" t="s">
        <v>173</v>
      </c>
    </row>
    <row r="22" spans="1:2" x14ac:dyDescent="0.3">
      <c r="A22" s="13" t="s">
        <v>164</v>
      </c>
      <c r="B22" s="13" t="s">
        <v>173</v>
      </c>
    </row>
    <row r="23" spans="1:2" ht="28.8" x14ac:dyDescent="0.3">
      <c r="A23" s="13" t="s">
        <v>165</v>
      </c>
      <c r="B23" s="13" t="s">
        <v>173</v>
      </c>
    </row>
    <row r="24" spans="1:2" x14ac:dyDescent="0.3">
      <c r="A24" s="13" t="s">
        <v>166</v>
      </c>
      <c r="B24" s="13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A14E-9EFB-40DE-9AEF-530972E464A2}">
  <sheetPr>
    <pageSetUpPr fitToPage="1"/>
  </sheetPr>
  <dimension ref="B6:S68"/>
  <sheetViews>
    <sheetView showGridLines="0" topLeftCell="A13" zoomScale="90" zoomScaleNormal="90" workbookViewId="0">
      <selection activeCell="C33" sqref="C33"/>
    </sheetView>
  </sheetViews>
  <sheetFormatPr defaultColWidth="8.77734375" defaultRowHeight="14.4" x14ac:dyDescent="0.3"/>
  <cols>
    <col min="1" max="1" width="3.44140625" customWidth="1"/>
    <col min="2" max="2" width="23.109375" customWidth="1"/>
    <col min="5" max="16" width="10.109375" customWidth="1"/>
    <col min="17" max="19" width="13.109375" customWidth="1"/>
  </cols>
  <sheetData>
    <row r="6" spans="2:19" x14ac:dyDescent="0.3">
      <c r="B6" s="36" t="s">
        <v>130</v>
      </c>
      <c r="C6" s="270" t="str">
        <f>Centralizator!C6</f>
        <v>se completează pe pagina Centralizator</v>
      </c>
      <c r="D6" s="271"/>
      <c r="E6" s="271"/>
      <c r="F6" s="272"/>
    </row>
    <row r="7" spans="2:19" ht="14.25" customHeight="1" x14ac:dyDescent="0.3">
      <c r="B7" s="36" t="s">
        <v>131</v>
      </c>
      <c r="C7" s="270" t="str">
        <f>Centralizator!C7</f>
        <v>se completează pe pagina Centralizator</v>
      </c>
      <c r="D7" s="271"/>
      <c r="E7" s="271"/>
      <c r="F7" s="272"/>
    </row>
    <row r="8" spans="2:19" ht="14.25" customHeight="1" x14ac:dyDescent="0.3">
      <c r="B8" s="36" t="s">
        <v>132</v>
      </c>
      <c r="C8" s="270" t="str">
        <f>Centralizator!C8</f>
        <v>se completează pe pagina Centralizator</v>
      </c>
      <c r="D8" s="271"/>
      <c r="E8" s="271"/>
      <c r="F8" s="272"/>
    </row>
    <row r="9" spans="2:19" ht="14.25" customHeight="1" x14ac:dyDescent="0.3">
      <c r="B9" s="36" t="s">
        <v>133</v>
      </c>
      <c r="C9" s="270" t="str">
        <f>Centralizator!C9</f>
        <v>se completează pe pagina Centralizator</v>
      </c>
      <c r="D9" s="271"/>
      <c r="E9" s="271"/>
      <c r="F9" s="272"/>
    </row>
    <row r="10" spans="2:19" ht="15" thickBot="1" x14ac:dyDescent="0.35"/>
    <row r="11" spans="2:19" ht="15.6" thickTop="1" thickBot="1" x14ac:dyDescent="0.35">
      <c r="B11" s="40" t="s">
        <v>6</v>
      </c>
      <c r="C11" s="268" t="s">
        <v>266</v>
      </c>
      <c r="D11" s="267"/>
      <c r="E11" s="267" t="s">
        <v>267</v>
      </c>
      <c r="F11" s="267"/>
      <c r="G11" s="267" t="s">
        <v>268</v>
      </c>
      <c r="H11" s="267"/>
      <c r="I11" s="267" t="s">
        <v>269</v>
      </c>
      <c r="J11" s="267"/>
      <c r="K11" s="267" t="s">
        <v>270</v>
      </c>
      <c r="L11" s="267"/>
      <c r="M11" s="267" t="s">
        <v>271</v>
      </c>
      <c r="N11" s="267"/>
      <c r="O11" s="267" t="s">
        <v>272</v>
      </c>
      <c r="P11" s="267"/>
      <c r="Q11" s="267" t="s">
        <v>273</v>
      </c>
      <c r="R11" s="267"/>
      <c r="S11" s="115" t="s">
        <v>274</v>
      </c>
    </row>
    <row r="12" spans="2:19" ht="15.6" thickTop="1" thickBot="1" x14ac:dyDescent="0.35">
      <c r="B12" s="256" t="s">
        <v>2</v>
      </c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</row>
    <row r="13" spans="2:19" ht="15" thickTop="1" x14ac:dyDescent="0.3">
      <c r="B13" s="41" t="s">
        <v>0</v>
      </c>
      <c r="C13" s="263" t="s">
        <v>280</v>
      </c>
      <c r="D13" s="264"/>
      <c r="E13" s="261"/>
      <c r="F13" s="262"/>
      <c r="G13" s="261"/>
      <c r="H13" s="262"/>
      <c r="I13" s="261"/>
      <c r="J13" s="262"/>
      <c r="K13" s="261"/>
      <c r="L13" s="262"/>
      <c r="M13" s="261"/>
      <c r="N13" s="262"/>
      <c r="O13" s="261"/>
      <c r="P13" s="262"/>
      <c r="Q13" s="261"/>
      <c r="R13" s="262"/>
      <c r="S13" s="116"/>
    </row>
    <row r="14" spans="2:19" ht="15" thickBot="1" x14ac:dyDescent="0.35">
      <c r="B14" s="42" t="s">
        <v>1</v>
      </c>
      <c r="C14" s="269">
        <v>200</v>
      </c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117"/>
    </row>
    <row r="15" spans="2:19" ht="15.6" thickTop="1" thickBot="1" x14ac:dyDescent="0.35">
      <c r="B15" s="256" t="s">
        <v>3</v>
      </c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</row>
    <row r="16" spans="2:19" ht="15.6" thickTop="1" thickBot="1" x14ac:dyDescent="0.35">
      <c r="B16" s="42" t="s">
        <v>4</v>
      </c>
      <c r="C16" s="254">
        <v>100</v>
      </c>
      <c r="D16" s="255"/>
      <c r="E16" s="260"/>
      <c r="F16" s="255"/>
      <c r="G16" s="260"/>
      <c r="H16" s="255"/>
      <c r="I16" s="260"/>
      <c r="J16" s="255"/>
      <c r="K16" s="260"/>
      <c r="L16" s="255"/>
      <c r="M16" s="260"/>
      <c r="N16" s="255"/>
      <c r="O16" s="260"/>
      <c r="P16" s="255"/>
      <c r="Q16" s="260"/>
      <c r="R16" s="255"/>
      <c r="S16" s="220"/>
    </row>
    <row r="17" spans="2:19" ht="15" thickTop="1" x14ac:dyDescent="0.3">
      <c r="B17" s="256" t="s">
        <v>5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</row>
    <row r="18" spans="2:19" x14ac:dyDescent="0.3">
      <c r="B18" s="1" t="s">
        <v>5</v>
      </c>
      <c r="C18" s="259">
        <f>C14-C16</f>
        <v>100</v>
      </c>
      <c r="D18" s="259"/>
      <c r="E18" s="259">
        <f t="shared" ref="E18" si="0">E14-E16</f>
        <v>0</v>
      </c>
      <c r="F18" s="259"/>
      <c r="G18" s="259">
        <f t="shared" ref="G18" si="1">G14-G16</f>
        <v>0</v>
      </c>
      <c r="H18" s="259"/>
      <c r="I18" s="259">
        <f t="shared" ref="I18" si="2">I14-I16</f>
        <v>0</v>
      </c>
      <c r="J18" s="259"/>
      <c r="K18" s="259">
        <f t="shared" ref="K18" si="3">K14-K16</f>
        <v>0</v>
      </c>
      <c r="L18" s="259"/>
      <c r="M18" s="259">
        <f t="shared" ref="M18" si="4">M14-M16</f>
        <v>0</v>
      </c>
      <c r="N18" s="259"/>
      <c r="O18" s="259">
        <f t="shared" ref="O18" si="5">O14-O16</f>
        <v>0</v>
      </c>
      <c r="P18" s="259"/>
      <c r="Q18" s="259">
        <f t="shared" ref="Q18:S18" si="6">Q14-Q16</f>
        <v>0</v>
      </c>
      <c r="R18" s="259"/>
      <c r="S18" s="39">
        <f t="shared" si="6"/>
        <v>0</v>
      </c>
    </row>
    <row r="20" spans="2:19" x14ac:dyDescent="0.3">
      <c r="B20" s="266" t="s">
        <v>7</v>
      </c>
      <c r="C20" s="266" t="s">
        <v>8</v>
      </c>
      <c r="D20" s="266" t="s">
        <v>9</v>
      </c>
      <c r="E20" s="256" t="s">
        <v>10</v>
      </c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66" t="s">
        <v>11</v>
      </c>
      <c r="R20" s="266" t="s">
        <v>12</v>
      </c>
      <c r="S20" s="266" t="s">
        <v>13</v>
      </c>
    </row>
    <row r="21" spans="2:19" x14ac:dyDescent="0.3">
      <c r="B21" s="266"/>
      <c r="C21" s="266"/>
      <c r="D21" s="266"/>
      <c r="E21" s="7" t="s">
        <v>238</v>
      </c>
      <c r="F21" s="38" t="s">
        <v>239</v>
      </c>
      <c r="G21" s="38" t="s">
        <v>240</v>
      </c>
      <c r="H21" s="38" t="s">
        <v>241</v>
      </c>
      <c r="I21" s="38" t="s">
        <v>242</v>
      </c>
      <c r="J21" s="38" t="s">
        <v>243</v>
      </c>
      <c r="K21" s="38" t="s">
        <v>244</v>
      </c>
      <c r="L21" s="38" t="s">
        <v>245</v>
      </c>
      <c r="M21" s="38" t="s">
        <v>246</v>
      </c>
      <c r="N21" s="38" t="s">
        <v>247</v>
      </c>
      <c r="O21" s="38" t="s">
        <v>248</v>
      </c>
      <c r="P21" s="38" t="s">
        <v>249</v>
      </c>
      <c r="Q21" s="266"/>
      <c r="R21" s="266"/>
      <c r="S21" s="266"/>
    </row>
    <row r="22" spans="2:19" ht="15" thickBot="1" x14ac:dyDescent="0.35">
      <c r="B22" s="256" t="s">
        <v>14</v>
      </c>
      <c r="C22" s="256"/>
      <c r="D22" s="256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56"/>
      <c r="R22" s="273"/>
      <c r="S22" s="273"/>
    </row>
    <row r="23" spans="2:19" ht="15" thickTop="1" x14ac:dyDescent="0.3">
      <c r="B23" s="2" t="str">
        <f>$C$11</f>
        <v>Prod.│Serv. 1.</v>
      </c>
      <c r="C23" s="4">
        <f>$C$14</f>
        <v>200</v>
      </c>
      <c r="D23" s="44" t="str">
        <f>$C$13</f>
        <v>buc.</v>
      </c>
      <c r="E23" s="103">
        <v>110</v>
      </c>
      <c r="F23" s="104">
        <v>110</v>
      </c>
      <c r="G23" s="104">
        <v>110</v>
      </c>
      <c r="H23" s="104">
        <v>110</v>
      </c>
      <c r="I23" s="104">
        <v>110</v>
      </c>
      <c r="J23" s="104">
        <v>110</v>
      </c>
      <c r="K23" s="104">
        <v>110</v>
      </c>
      <c r="L23" s="104">
        <v>110</v>
      </c>
      <c r="M23" s="104">
        <v>110</v>
      </c>
      <c r="N23" s="104">
        <v>110</v>
      </c>
      <c r="O23" s="104">
        <v>110</v>
      </c>
      <c r="P23" s="105">
        <v>110</v>
      </c>
      <c r="Q23" s="45">
        <f>SUM(E23:P23)</f>
        <v>1320</v>
      </c>
      <c r="R23" s="95">
        <v>1400</v>
      </c>
      <c r="S23" s="96">
        <v>1450</v>
      </c>
    </row>
    <row r="24" spans="2:19" x14ac:dyDescent="0.3">
      <c r="B24" s="2" t="str">
        <f>$E$11</f>
        <v>Prod.│Serv. 2.</v>
      </c>
      <c r="C24" s="4">
        <f>$E$14</f>
        <v>0</v>
      </c>
      <c r="D24" s="44">
        <f>$E$13</f>
        <v>0</v>
      </c>
      <c r="E24" s="106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8"/>
      <c r="Q24" s="45">
        <f t="shared" ref="Q24:Q31" si="7">SUM(E24:P24)</f>
        <v>0</v>
      </c>
      <c r="R24" s="97"/>
      <c r="S24" s="98"/>
    </row>
    <row r="25" spans="2:19" x14ac:dyDescent="0.3">
      <c r="B25" s="2" t="str">
        <f>$G$11</f>
        <v>Prod.│Serv. 3.</v>
      </c>
      <c r="C25" s="4">
        <f>$G$14</f>
        <v>0</v>
      </c>
      <c r="D25" s="44">
        <f>$G$13</f>
        <v>0</v>
      </c>
      <c r="E25" s="109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  <c r="Q25" s="45">
        <f t="shared" si="7"/>
        <v>0</v>
      </c>
      <c r="R25" s="99"/>
      <c r="S25" s="100"/>
    </row>
    <row r="26" spans="2:19" x14ac:dyDescent="0.3">
      <c r="B26" s="2" t="str">
        <f>$I$11</f>
        <v>Prod.│Serv. 4.</v>
      </c>
      <c r="C26" s="4">
        <f>$I$14</f>
        <v>0</v>
      </c>
      <c r="D26" s="44">
        <f>$I$13</f>
        <v>0</v>
      </c>
      <c r="E26" s="106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8"/>
      <c r="Q26" s="45">
        <f t="shared" si="7"/>
        <v>0</v>
      </c>
      <c r="R26" s="97"/>
      <c r="S26" s="98"/>
    </row>
    <row r="27" spans="2:19" x14ac:dyDescent="0.3">
      <c r="B27" s="2" t="str">
        <f>$K$11</f>
        <v>Prod.│Serv. 5.</v>
      </c>
      <c r="C27" s="4">
        <f>$K$14</f>
        <v>0</v>
      </c>
      <c r="D27" s="44">
        <f>$K$13</f>
        <v>0</v>
      </c>
      <c r="E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1"/>
      <c r="Q27" s="45">
        <f t="shared" si="7"/>
        <v>0</v>
      </c>
      <c r="R27" s="99"/>
      <c r="S27" s="100"/>
    </row>
    <row r="28" spans="2:19" x14ac:dyDescent="0.3">
      <c r="B28" s="2" t="str">
        <f>$M$11</f>
        <v>Prod.│Serv. 6.</v>
      </c>
      <c r="C28" s="4">
        <f>$M$14</f>
        <v>0</v>
      </c>
      <c r="D28" s="44">
        <f>$M$13</f>
        <v>0</v>
      </c>
      <c r="E28" s="106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8"/>
      <c r="Q28" s="45">
        <f t="shared" si="7"/>
        <v>0</v>
      </c>
      <c r="R28" s="97"/>
      <c r="S28" s="98"/>
    </row>
    <row r="29" spans="2:19" x14ac:dyDescent="0.3">
      <c r="B29" s="2" t="str">
        <f>$O$11</f>
        <v>Prod.│Serv. 7.</v>
      </c>
      <c r="C29" s="4">
        <f>$O$14</f>
        <v>0</v>
      </c>
      <c r="D29" s="44">
        <f>$O$13</f>
        <v>0</v>
      </c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1"/>
      <c r="Q29" s="45">
        <f t="shared" si="7"/>
        <v>0</v>
      </c>
      <c r="R29" s="99"/>
      <c r="S29" s="100"/>
    </row>
    <row r="30" spans="2:19" x14ac:dyDescent="0.3">
      <c r="B30" s="2" t="str">
        <f>$Q$11</f>
        <v>Prod.│Serv. 8.</v>
      </c>
      <c r="C30" s="4">
        <f>$Q$14</f>
        <v>0</v>
      </c>
      <c r="D30" s="44">
        <f>$Q$13</f>
        <v>0</v>
      </c>
      <c r="E30" s="106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8"/>
      <c r="Q30" s="45">
        <f t="shared" si="7"/>
        <v>0</v>
      </c>
      <c r="R30" s="97"/>
      <c r="S30" s="98"/>
    </row>
    <row r="31" spans="2:19" ht="15" thickBot="1" x14ac:dyDescent="0.35">
      <c r="B31" s="2" t="str">
        <f>$S$11</f>
        <v>Prod.│Serv. 9.</v>
      </c>
      <c r="C31" s="4">
        <f>$S$14</f>
        <v>0</v>
      </c>
      <c r="D31" s="44">
        <f>$S$13</f>
        <v>0</v>
      </c>
      <c r="E31" s="112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4"/>
      <c r="Q31" s="45">
        <f t="shared" si="7"/>
        <v>0</v>
      </c>
      <c r="R31" s="101"/>
      <c r="S31" s="102"/>
    </row>
    <row r="32" spans="2:19" ht="15" thickTop="1" x14ac:dyDescent="0.3">
      <c r="B32" s="256" t="s">
        <v>15</v>
      </c>
      <c r="C32" s="256"/>
      <c r="D32" s="256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6"/>
      <c r="R32" s="257"/>
      <c r="S32" s="257"/>
    </row>
    <row r="33" spans="2:19" x14ac:dyDescent="0.3">
      <c r="B33" s="2" t="str">
        <f>B23</f>
        <v>Prod.│Serv. 1.</v>
      </c>
      <c r="C33" s="4">
        <f>C23</f>
        <v>200</v>
      </c>
      <c r="D33" s="6" t="s">
        <v>16</v>
      </c>
      <c r="E33" s="4">
        <f>E23*$C23</f>
        <v>22000</v>
      </c>
      <c r="F33" s="4">
        <f t="shared" ref="F33:P33" si="8">F23*$C23</f>
        <v>22000</v>
      </c>
      <c r="G33" s="4">
        <f t="shared" si="8"/>
        <v>22000</v>
      </c>
      <c r="H33" s="4">
        <f t="shared" si="8"/>
        <v>22000</v>
      </c>
      <c r="I33" s="4">
        <f t="shared" si="8"/>
        <v>22000</v>
      </c>
      <c r="J33" s="4">
        <f t="shared" si="8"/>
        <v>22000</v>
      </c>
      <c r="K33" s="4">
        <f t="shared" si="8"/>
        <v>22000</v>
      </c>
      <c r="L33" s="4">
        <f t="shared" si="8"/>
        <v>22000</v>
      </c>
      <c r="M33" s="4">
        <f t="shared" si="8"/>
        <v>22000</v>
      </c>
      <c r="N33" s="4">
        <f t="shared" si="8"/>
        <v>22000</v>
      </c>
      <c r="O33" s="4">
        <f t="shared" si="8"/>
        <v>22000</v>
      </c>
      <c r="P33" s="4">
        <f t="shared" si="8"/>
        <v>22000</v>
      </c>
      <c r="Q33" s="3">
        <f>SUM(E33:P33)</f>
        <v>264000</v>
      </c>
      <c r="R33" s="3">
        <f t="shared" ref="R33:S33" si="9">R23*$C23</f>
        <v>280000</v>
      </c>
      <c r="S33" s="3">
        <f t="shared" si="9"/>
        <v>290000</v>
      </c>
    </row>
    <row r="34" spans="2:19" x14ac:dyDescent="0.3">
      <c r="B34" s="2" t="str">
        <f t="shared" ref="B34:C34" si="10">B24</f>
        <v>Prod.│Serv. 2.</v>
      </c>
      <c r="C34" s="4">
        <f t="shared" si="10"/>
        <v>0</v>
      </c>
      <c r="D34" s="6" t="s">
        <v>16</v>
      </c>
      <c r="E34" s="4">
        <f t="shared" ref="E34:P34" si="11">E24*$C24</f>
        <v>0</v>
      </c>
      <c r="F34" s="4">
        <f t="shared" si="11"/>
        <v>0</v>
      </c>
      <c r="G34" s="4">
        <f t="shared" si="11"/>
        <v>0</v>
      </c>
      <c r="H34" s="4">
        <f t="shared" si="11"/>
        <v>0</v>
      </c>
      <c r="I34" s="4">
        <f t="shared" si="11"/>
        <v>0</v>
      </c>
      <c r="J34" s="4">
        <f t="shared" si="11"/>
        <v>0</v>
      </c>
      <c r="K34" s="4">
        <f t="shared" si="11"/>
        <v>0</v>
      </c>
      <c r="L34" s="4">
        <f t="shared" si="11"/>
        <v>0</v>
      </c>
      <c r="M34" s="4">
        <f t="shared" si="11"/>
        <v>0</v>
      </c>
      <c r="N34" s="4">
        <f t="shared" si="11"/>
        <v>0</v>
      </c>
      <c r="O34" s="4">
        <f t="shared" si="11"/>
        <v>0</v>
      </c>
      <c r="P34" s="4">
        <f t="shared" si="11"/>
        <v>0</v>
      </c>
      <c r="Q34" s="3">
        <f t="shared" ref="Q34:Q43" si="12">SUM(E34:P34)</f>
        <v>0</v>
      </c>
      <c r="R34" s="3">
        <f t="shared" ref="R34:S34" si="13">R24*$C24</f>
        <v>0</v>
      </c>
      <c r="S34" s="3">
        <f t="shared" si="13"/>
        <v>0</v>
      </c>
    </row>
    <row r="35" spans="2:19" x14ac:dyDescent="0.3">
      <c r="B35" s="2" t="str">
        <f t="shared" ref="B35:C35" si="14">B25</f>
        <v>Prod.│Serv. 3.</v>
      </c>
      <c r="C35" s="4">
        <f t="shared" si="14"/>
        <v>0</v>
      </c>
      <c r="D35" s="6" t="s">
        <v>16</v>
      </c>
      <c r="E35" s="4">
        <f t="shared" ref="E35:P35" si="15">E25*$C25</f>
        <v>0</v>
      </c>
      <c r="F35" s="4">
        <f t="shared" si="15"/>
        <v>0</v>
      </c>
      <c r="G35" s="4">
        <f t="shared" si="15"/>
        <v>0</v>
      </c>
      <c r="H35" s="4">
        <f t="shared" si="15"/>
        <v>0</v>
      </c>
      <c r="I35" s="4">
        <f t="shared" si="15"/>
        <v>0</v>
      </c>
      <c r="J35" s="4">
        <f t="shared" si="15"/>
        <v>0</v>
      </c>
      <c r="K35" s="4">
        <f t="shared" si="15"/>
        <v>0</v>
      </c>
      <c r="L35" s="4">
        <f t="shared" si="15"/>
        <v>0</v>
      </c>
      <c r="M35" s="4">
        <f t="shared" si="15"/>
        <v>0</v>
      </c>
      <c r="N35" s="4">
        <f t="shared" si="15"/>
        <v>0</v>
      </c>
      <c r="O35" s="4">
        <f t="shared" si="15"/>
        <v>0</v>
      </c>
      <c r="P35" s="4">
        <f t="shared" si="15"/>
        <v>0</v>
      </c>
      <c r="Q35" s="3">
        <f t="shared" si="12"/>
        <v>0</v>
      </c>
      <c r="R35" s="3">
        <f t="shared" ref="R35:S35" si="16">R25*$C25</f>
        <v>0</v>
      </c>
      <c r="S35" s="3">
        <f t="shared" si="16"/>
        <v>0</v>
      </c>
    </row>
    <row r="36" spans="2:19" x14ac:dyDescent="0.3">
      <c r="B36" s="2" t="str">
        <f t="shared" ref="B36:C36" si="17">B26</f>
        <v>Prod.│Serv. 4.</v>
      </c>
      <c r="C36" s="4">
        <f t="shared" si="17"/>
        <v>0</v>
      </c>
      <c r="D36" s="6" t="s">
        <v>16</v>
      </c>
      <c r="E36" s="4">
        <f t="shared" ref="E36:P36" si="18">E26*$C26</f>
        <v>0</v>
      </c>
      <c r="F36" s="4">
        <f t="shared" si="18"/>
        <v>0</v>
      </c>
      <c r="G36" s="4">
        <f t="shared" si="18"/>
        <v>0</v>
      </c>
      <c r="H36" s="4">
        <f t="shared" si="18"/>
        <v>0</v>
      </c>
      <c r="I36" s="4">
        <f t="shared" si="18"/>
        <v>0</v>
      </c>
      <c r="J36" s="4">
        <f t="shared" si="18"/>
        <v>0</v>
      </c>
      <c r="K36" s="4">
        <f t="shared" si="18"/>
        <v>0</v>
      </c>
      <c r="L36" s="4">
        <f t="shared" si="18"/>
        <v>0</v>
      </c>
      <c r="M36" s="4">
        <f t="shared" si="18"/>
        <v>0</v>
      </c>
      <c r="N36" s="4">
        <f t="shared" si="18"/>
        <v>0</v>
      </c>
      <c r="O36" s="4">
        <f t="shared" si="18"/>
        <v>0</v>
      </c>
      <c r="P36" s="4">
        <f t="shared" si="18"/>
        <v>0</v>
      </c>
      <c r="Q36" s="3">
        <f t="shared" si="12"/>
        <v>0</v>
      </c>
      <c r="R36" s="3">
        <f t="shared" ref="R36:S36" si="19">R26*$C26</f>
        <v>0</v>
      </c>
      <c r="S36" s="3">
        <f t="shared" si="19"/>
        <v>0</v>
      </c>
    </row>
    <row r="37" spans="2:19" x14ac:dyDescent="0.3">
      <c r="B37" s="2" t="str">
        <f t="shared" ref="B37:C37" si="20">B27</f>
        <v>Prod.│Serv. 5.</v>
      </c>
      <c r="C37" s="4">
        <f t="shared" si="20"/>
        <v>0</v>
      </c>
      <c r="D37" s="6" t="s">
        <v>16</v>
      </c>
      <c r="E37" s="4">
        <f t="shared" ref="E37:P37" si="21">E27*$C27</f>
        <v>0</v>
      </c>
      <c r="F37" s="4">
        <f t="shared" si="21"/>
        <v>0</v>
      </c>
      <c r="G37" s="4">
        <f t="shared" si="21"/>
        <v>0</v>
      </c>
      <c r="H37" s="4">
        <f t="shared" si="21"/>
        <v>0</v>
      </c>
      <c r="I37" s="4">
        <f t="shared" si="21"/>
        <v>0</v>
      </c>
      <c r="J37" s="4">
        <f t="shared" si="21"/>
        <v>0</v>
      </c>
      <c r="K37" s="4">
        <f t="shared" si="21"/>
        <v>0</v>
      </c>
      <c r="L37" s="4">
        <f t="shared" si="21"/>
        <v>0</v>
      </c>
      <c r="M37" s="4">
        <f t="shared" si="21"/>
        <v>0</v>
      </c>
      <c r="N37" s="4">
        <f t="shared" si="21"/>
        <v>0</v>
      </c>
      <c r="O37" s="4">
        <f t="shared" si="21"/>
        <v>0</v>
      </c>
      <c r="P37" s="4">
        <f t="shared" si="21"/>
        <v>0</v>
      </c>
      <c r="Q37" s="3">
        <f t="shared" si="12"/>
        <v>0</v>
      </c>
      <c r="R37" s="3">
        <f t="shared" ref="R37:S37" si="22">R27*$C27</f>
        <v>0</v>
      </c>
      <c r="S37" s="3">
        <f t="shared" si="22"/>
        <v>0</v>
      </c>
    </row>
    <row r="38" spans="2:19" x14ac:dyDescent="0.3">
      <c r="B38" s="2" t="str">
        <f t="shared" ref="B38:C38" si="23">B28</f>
        <v>Prod.│Serv. 6.</v>
      </c>
      <c r="C38" s="4">
        <f t="shared" si="23"/>
        <v>0</v>
      </c>
      <c r="D38" s="6" t="s">
        <v>16</v>
      </c>
      <c r="E38" s="4">
        <f t="shared" ref="E38:P38" si="24">E28*$C28</f>
        <v>0</v>
      </c>
      <c r="F38" s="4">
        <f t="shared" si="24"/>
        <v>0</v>
      </c>
      <c r="G38" s="4">
        <f t="shared" si="24"/>
        <v>0</v>
      </c>
      <c r="H38" s="4">
        <f t="shared" si="24"/>
        <v>0</v>
      </c>
      <c r="I38" s="4">
        <f t="shared" si="24"/>
        <v>0</v>
      </c>
      <c r="J38" s="4">
        <f t="shared" si="24"/>
        <v>0</v>
      </c>
      <c r="K38" s="4">
        <f t="shared" si="24"/>
        <v>0</v>
      </c>
      <c r="L38" s="4">
        <f t="shared" si="24"/>
        <v>0</v>
      </c>
      <c r="M38" s="4">
        <f t="shared" si="24"/>
        <v>0</v>
      </c>
      <c r="N38" s="4">
        <f t="shared" si="24"/>
        <v>0</v>
      </c>
      <c r="O38" s="4">
        <f t="shared" si="24"/>
        <v>0</v>
      </c>
      <c r="P38" s="4">
        <f t="shared" si="24"/>
        <v>0</v>
      </c>
      <c r="Q38" s="3">
        <f t="shared" si="12"/>
        <v>0</v>
      </c>
      <c r="R38" s="3">
        <f t="shared" ref="R38:S38" si="25">R28*$C28</f>
        <v>0</v>
      </c>
      <c r="S38" s="3">
        <f t="shared" si="25"/>
        <v>0</v>
      </c>
    </row>
    <row r="39" spans="2:19" x14ac:dyDescent="0.3">
      <c r="B39" s="2" t="str">
        <f t="shared" ref="B39:C39" si="26">B29</f>
        <v>Prod.│Serv. 7.</v>
      </c>
      <c r="C39" s="4">
        <f t="shared" si="26"/>
        <v>0</v>
      </c>
      <c r="D39" s="6" t="s">
        <v>16</v>
      </c>
      <c r="E39" s="4">
        <f t="shared" ref="E39:P39" si="27">E29*$C29</f>
        <v>0</v>
      </c>
      <c r="F39" s="4">
        <f t="shared" si="27"/>
        <v>0</v>
      </c>
      <c r="G39" s="4">
        <f t="shared" si="27"/>
        <v>0</v>
      </c>
      <c r="H39" s="4">
        <f t="shared" si="27"/>
        <v>0</v>
      </c>
      <c r="I39" s="4">
        <f t="shared" si="27"/>
        <v>0</v>
      </c>
      <c r="J39" s="4">
        <f t="shared" si="27"/>
        <v>0</v>
      </c>
      <c r="K39" s="4">
        <f t="shared" si="27"/>
        <v>0</v>
      </c>
      <c r="L39" s="4">
        <f t="shared" si="27"/>
        <v>0</v>
      </c>
      <c r="M39" s="4">
        <f t="shared" si="27"/>
        <v>0</v>
      </c>
      <c r="N39" s="4">
        <f t="shared" si="27"/>
        <v>0</v>
      </c>
      <c r="O39" s="4">
        <f t="shared" si="27"/>
        <v>0</v>
      </c>
      <c r="P39" s="4">
        <f t="shared" si="27"/>
        <v>0</v>
      </c>
      <c r="Q39" s="3">
        <f t="shared" si="12"/>
        <v>0</v>
      </c>
      <c r="R39" s="3">
        <f t="shared" ref="R39:S39" si="28">R29*$C29</f>
        <v>0</v>
      </c>
      <c r="S39" s="3">
        <f t="shared" si="28"/>
        <v>0</v>
      </c>
    </row>
    <row r="40" spans="2:19" x14ac:dyDescent="0.3">
      <c r="B40" s="2" t="str">
        <f t="shared" ref="B40:C40" si="29">B30</f>
        <v>Prod.│Serv. 8.</v>
      </c>
      <c r="C40" s="4">
        <f t="shared" si="29"/>
        <v>0</v>
      </c>
      <c r="D40" s="6" t="s">
        <v>16</v>
      </c>
      <c r="E40" s="4">
        <f t="shared" ref="E40:P40" si="30">E30*$C30</f>
        <v>0</v>
      </c>
      <c r="F40" s="4">
        <f t="shared" si="30"/>
        <v>0</v>
      </c>
      <c r="G40" s="4">
        <f t="shared" si="30"/>
        <v>0</v>
      </c>
      <c r="H40" s="4">
        <f t="shared" si="30"/>
        <v>0</v>
      </c>
      <c r="I40" s="4">
        <f t="shared" si="30"/>
        <v>0</v>
      </c>
      <c r="J40" s="4">
        <f t="shared" si="30"/>
        <v>0</v>
      </c>
      <c r="K40" s="4">
        <f t="shared" si="30"/>
        <v>0</v>
      </c>
      <c r="L40" s="4">
        <f t="shared" si="30"/>
        <v>0</v>
      </c>
      <c r="M40" s="4">
        <f t="shared" si="30"/>
        <v>0</v>
      </c>
      <c r="N40" s="4">
        <f t="shared" si="30"/>
        <v>0</v>
      </c>
      <c r="O40" s="4">
        <f t="shared" si="30"/>
        <v>0</v>
      </c>
      <c r="P40" s="4">
        <f t="shared" si="30"/>
        <v>0</v>
      </c>
      <c r="Q40" s="3">
        <f t="shared" si="12"/>
        <v>0</v>
      </c>
      <c r="R40" s="3">
        <f t="shared" ref="R40:S40" si="31">R30*$C30</f>
        <v>0</v>
      </c>
      <c r="S40" s="3">
        <f t="shared" si="31"/>
        <v>0</v>
      </c>
    </row>
    <row r="41" spans="2:19" x14ac:dyDescent="0.3">
      <c r="B41" s="2" t="str">
        <f t="shared" ref="B41:C41" si="32">B31</f>
        <v>Prod.│Serv. 9.</v>
      </c>
      <c r="C41" s="4">
        <f t="shared" si="32"/>
        <v>0</v>
      </c>
      <c r="D41" s="6" t="s">
        <v>16</v>
      </c>
      <c r="E41" s="4">
        <f t="shared" ref="E41:P41" si="33">E31*$C31</f>
        <v>0</v>
      </c>
      <c r="F41" s="4">
        <f t="shared" si="33"/>
        <v>0</v>
      </c>
      <c r="G41" s="4">
        <f t="shared" si="33"/>
        <v>0</v>
      </c>
      <c r="H41" s="4">
        <f t="shared" si="33"/>
        <v>0</v>
      </c>
      <c r="I41" s="4">
        <f t="shared" si="33"/>
        <v>0</v>
      </c>
      <c r="J41" s="4">
        <f t="shared" si="33"/>
        <v>0</v>
      </c>
      <c r="K41" s="4">
        <f t="shared" si="33"/>
        <v>0</v>
      </c>
      <c r="L41" s="4">
        <f t="shared" si="33"/>
        <v>0</v>
      </c>
      <c r="M41" s="4">
        <f t="shared" si="33"/>
        <v>0</v>
      </c>
      <c r="N41" s="4">
        <f t="shared" si="33"/>
        <v>0</v>
      </c>
      <c r="O41" s="4">
        <f t="shared" si="33"/>
        <v>0</v>
      </c>
      <c r="P41" s="4">
        <f t="shared" si="33"/>
        <v>0</v>
      </c>
      <c r="Q41" s="3">
        <f t="shared" si="12"/>
        <v>0</v>
      </c>
      <c r="R41" s="3">
        <f t="shared" ref="R41:S41" si="34">R31*$C31</f>
        <v>0</v>
      </c>
      <c r="S41" s="3">
        <f t="shared" si="34"/>
        <v>0</v>
      </c>
    </row>
    <row r="42" spans="2:19" ht="15" thickBot="1" x14ac:dyDescent="0.35">
      <c r="B42" s="274" t="s">
        <v>17</v>
      </c>
      <c r="C42" s="274"/>
      <c r="D42" s="7" t="s">
        <v>16</v>
      </c>
      <c r="E42" s="47">
        <f>SUM(E33:E41)</f>
        <v>22000</v>
      </c>
      <c r="F42" s="47">
        <f t="shared" ref="F42:S42" si="35">SUM(F33:F41)</f>
        <v>22000</v>
      </c>
      <c r="G42" s="47">
        <f t="shared" si="35"/>
        <v>22000</v>
      </c>
      <c r="H42" s="47">
        <f t="shared" si="35"/>
        <v>22000</v>
      </c>
      <c r="I42" s="47">
        <f t="shared" si="35"/>
        <v>22000</v>
      </c>
      <c r="J42" s="47">
        <f t="shared" si="35"/>
        <v>22000</v>
      </c>
      <c r="K42" s="47">
        <f t="shared" si="35"/>
        <v>22000</v>
      </c>
      <c r="L42" s="47">
        <f t="shared" si="35"/>
        <v>22000</v>
      </c>
      <c r="M42" s="47">
        <f t="shared" si="35"/>
        <v>22000</v>
      </c>
      <c r="N42" s="47">
        <f t="shared" si="35"/>
        <v>22000</v>
      </c>
      <c r="O42" s="47">
        <f t="shared" si="35"/>
        <v>22000</v>
      </c>
      <c r="P42" s="47">
        <f t="shared" si="35"/>
        <v>22000</v>
      </c>
      <c r="Q42" s="8">
        <f t="shared" si="35"/>
        <v>264000</v>
      </c>
      <c r="R42" s="47">
        <f t="shared" si="35"/>
        <v>280000</v>
      </c>
      <c r="S42" s="47">
        <f t="shared" si="35"/>
        <v>290000</v>
      </c>
    </row>
    <row r="43" spans="2:19" ht="15.6" thickTop="1" thickBot="1" x14ac:dyDescent="0.35">
      <c r="B43" s="275" t="s">
        <v>18</v>
      </c>
      <c r="C43" s="275"/>
      <c r="D43" s="46" t="s">
        <v>16</v>
      </c>
      <c r="E43" s="90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2"/>
      <c r="Q43" s="45">
        <f t="shared" si="12"/>
        <v>0</v>
      </c>
      <c r="R43" s="93"/>
      <c r="S43" s="94"/>
    </row>
    <row r="44" spans="2:19" ht="15" thickTop="1" x14ac:dyDescent="0.3">
      <c r="B44" s="274" t="s">
        <v>19</v>
      </c>
      <c r="C44" s="274"/>
      <c r="D44" s="7" t="s">
        <v>16</v>
      </c>
      <c r="E44" s="48">
        <f>E42+E43</f>
        <v>22000</v>
      </c>
      <c r="F44" s="48">
        <f t="shared" ref="F44:S44" si="36">F42+F43</f>
        <v>22000</v>
      </c>
      <c r="G44" s="48">
        <f t="shared" si="36"/>
        <v>22000</v>
      </c>
      <c r="H44" s="48">
        <f t="shared" si="36"/>
        <v>22000</v>
      </c>
      <c r="I44" s="48">
        <f t="shared" si="36"/>
        <v>22000</v>
      </c>
      <c r="J44" s="48">
        <f t="shared" si="36"/>
        <v>22000</v>
      </c>
      <c r="K44" s="48">
        <f t="shared" si="36"/>
        <v>22000</v>
      </c>
      <c r="L44" s="48">
        <f t="shared" si="36"/>
        <v>22000</v>
      </c>
      <c r="M44" s="48">
        <f t="shared" si="36"/>
        <v>22000</v>
      </c>
      <c r="N44" s="48">
        <f t="shared" si="36"/>
        <v>22000</v>
      </c>
      <c r="O44" s="48">
        <f t="shared" si="36"/>
        <v>22000</v>
      </c>
      <c r="P44" s="48">
        <f t="shared" si="36"/>
        <v>22000</v>
      </c>
      <c r="Q44" s="8">
        <f t="shared" si="36"/>
        <v>264000</v>
      </c>
      <c r="R44" s="48">
        <f t="shared" si="36"/>
        <v>280000</v>
      </c>
      <c r="S44" s="48">
        <f t="shared" si="36"/>
        <v>290000</v>
      </c>
    </row>
    <row r="45" spans="2:19" x14ac:dyDescent="0.3">
      <c r="B45" s="256" t="s">
        <v>103</v>
      </c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</row>
    <row r="46" spans="2:19" x14ac:dyDescent="0.3">
      <c r="B46" s="2" t="str">
        <f>B33</f>
        <v>Prod.│Serv. 1.</v>
      </c>
      <c r="C46" s="9" t="s">
        <v>90</v>
      </c>
      <c r="D46" s="6" t="s">
        <v>16</v>
      </c>
      <c r="E46" s="10">
        <f>IF(E33&lt;&gt;0,E33/E$42,"")</f>
        <v>1</v>
      </c>
      <c r="F46" s="10">
        <f t="shared" ref="F46:P46" si="37">IF(F33&lt;&gt;0,F33/F$42,"")</f>
        <v>1</v>
      </c>
      <c r="G46" s="10">
        <f t="shared" si="37"/>
        <v>1</v>
      </c>
      <c r="H46" s="10">
        <f t="shared" si="37"/>
        <v>1</v>
      </c>
      <c r="I46" s="10">
        <f t="shared" si="37"/>
        <v>1</v>
      </c>
      <c r="J46" s="10">
        <f t="shared" si="37"/>
        <v>1</v>
      </c>
      <c r="K46" s="10">
        <f t="shared" si="37"/>
        <v>1</v>
      </c>
      <c r="L46" s="10">
        <f t="shared" si="37"/>
        <v>1</v>
      </c>
      <c r="M46" s="10">
        <f t="shared" si="37"/>
        <v>1</v>
      </c>
      <c r="N46" s="10">
        <f t="shared" si="37"/>
        <v>1</v>
      </c>
      <c r="O46" s="10">
        <f t="shared" si="37"/>
        <v>1</v>
      </c>
      <c r="P46" s="10">
        <f t="shared" si="37"/>
        <v>1</v>
      </c>
      <c r="Q46" s="43">
        <f t="shared" ref="Q46:S46" si="38">IF(Q33&lt;&gt;0,Q33/Q$42,"")</f>
        <v>1</v>
      </c>
      <c r="R46" s="43">
        <f t="shared" si="38"/>
        <v>1</v>
      </c>
      <c r="S46" s="43">
        <f t="shared" si="38"/>
        <v>1</v>
      </c>
    </row>
    <row r="47" spans="2:19" x14ac:dyDescent="0.3">
      <c r="B47" s="2" t="str">
        <f t="shared" ref="B47:B54" si="39">B34</f>
        <v>Prod.│Serv. 2.</v>
      </c>
      <c r="C47" s="9" t="s">
        <v>90</v>
      </c>
      <c r="D47" s="6" t="s">
        <v>16</v>
      </c>
      <c r="E47" s="10" t="str">
        <f t="shared" ref="E47:P54" si="40">IF(E34&lt;&gt;0,E34/E$42,"")</f>
        <v/>
      </c>
      <c r="F47" s="10" t="str">
        <f t="shared" si="40"/>
        <v/>
      </c>
      <c r="G47" s="10" t="str">
        <f t="shared" si="40"/>
        <v/>
      </c>
      <c r="H47" s="10" t="str">
        <f t="shared" si="40"/>
        <v/>
      </c>
      <c r="I47" s="10" t="str">
        <f t="shared" si="40"/>
        <v/>
      </c>
      <c r="J47" s="10" t="str">
        <f t="shared" si="40"/>
        <v/>
      </c>
      <c r="K47" s="10" t="str">
        <f t="shared" si="40"/>
        <v/>
      </c>
      <c r="L47" s="10" t="str">
        <f t="shared" si="40"/>
        <v/>
      </c>
      <c r="M47" s="10" t="str">
        <f t="shared" si="40"/>
        <v/>
      </c>
      <c r="N47" s="10" t="str">
        <f t="shared" si="40"/>
        <v/>
      </c>
      <c r="O47" s="10" t="str">
        <f t="shared" si="40"/>
        <v/>
      </c>
      <c r="P47" s="10" t="str">
        <f t="shared" si="40"/>
        <v/>
      </c>
      <c r="Q47" s="43" t="str">
        <f t="shared" ref="Q47:S47" si="41">IF(Q34&lt;&gt;0,Q34/Q$42,"")</f>
        <v/>
      </c>
      <c r="R47" s="43" t="str">
        <f t="shared" si="41"/>
        <v/>
      </c>
      <c r="S47" s="43" t="str">
        <f t="shared" si="41"/>
        <v/>
      </c>
    </row>
    <row r="48" spans="2:19" x14ac:dyDescent="0.3">
      <c r="B48" s="2" t="str">
        <f t="shared" si="39"/>
        <v>Prod.│Serv. 3.</v>
      </c>
      <c r="C48" s="9" t="s">
        <v>90</v>
      </c>
      <c r="D48" s="6" t="s">
        <v>16</v>
      </c>
      <c r="E48" s="10" t="str">
        <f t="shared" si="40"/>
        <v/>
      </c>
      <c r="F48" s="10" t="str">
        <f t="shared" si="40"/>
        <v/>
      </c>
      <c r="G48" s="10" t="str">
        <f t="shared" si="40"/>
        <v/>
      </c>
      <c r="H48" s="10" t="str">
        <f t="shared" si="40"/>
        <v/>
      </c>
      <c r="I48" s="10" t="str">
        <f t="shared" si="40"/>
        <v/>
      </c>
      <c r="J48" s="10" t="str">
        <f t="shared" si="40"/>
        <v/>
      </c>
      <c r="K48" s="10" t="str">
        <f t="shared" si="40"/>
        <v/>
      </c>
      <c r="L48" s="10" t="str">
        <f t="shared" si="40"/>
        <v/>
      </c>
      <c r="M48" s="10" t="str">
        <f t="shared" si="40"/>
        <v/>
      </c>
      <c r="N48" s="10" t="str">
        <f t="shared" si="40"/>
        <v/>
      </c>
      <c r="O48" s="10" t="str">
        <f t="shared" si="40"/>
        <v/>
      </c>
      <c r="P48" s="10" t="str">
        <f t="shared" si="40"/>
        <v/>
      </c>
      <c r="Q48" s="43" t="str">
        <f t="shared" ref="Q48:S48" si="42">IF(Q35&lt;&gt;0,Q35/Q$42,"")</f>
        <v/>
      </c>
      <c r="R48" s="43" t="str">
        <f t="shared" si="42"/>
        <v/>
      </c>
      <c r="S48" s="43" t="str">
        <f t="shared" si="42"/>
        <v/>
      </c>
    </row>
    <row r="49" spans="2:19" x14ac:dyDescent="0.3">
      <c r="B49" s="2" t="str">
        <f t="shared" si="39"/>
        <v>Prod.│Serv. 4.</v>
      </c>
      <c r="C49" s="9" t="s">
        <v>90</v>
      </c>
      <c r="D49" s="6" t="s">
        <v>16</v>
      </c>
      <c r="E49" s="10" t="str">
        <f t="shared" si="40"/>
        <v/>
      </c>
      <c r="F49" s="10" t="str">
        <f t="shared" si="40"/>
        <v/>
      </c>
      <c r="G49" s="10" t="str">
        <f t="shared" si="40"/>
        <v/>
      </c>
      <c r="H49" s="10" t="str">
        <f t="shared" si="40"/>
        <v/>
      </c>
      <c r="I49" s="10" t="str">
        <f t="shared" si="40"/>
        <v/>
      </c>
      <c r="J49" s="10" t="str">
        <f t="shared" si="40"/>
        <v/>
      </c>
      <c r="K49" s="10" t="str">
        <f t="shared" si="40"/>
        <v/>
      </c>
      <c r="L49" s="10" t="str">
        <f t="shared" si="40"/>
        <v/>
      </c>
      <c r="M49" s="10" t="str">
        <f t="shared" si="40"/>
        <v/>
      </c>
      <c r="N49" s="10" t="str">
        <f t="shared" si="40"/>
        <v/>
      </c>
      <c r="O49" s="10" t="str">
        <f t="shared" si="40"/>
        <v/>
      </c>
      <c r="P49" s="10" t="str">
        <f t="shared" si="40"/>
        <v/>
      </c>
      <c r="Q49" s="43" t="str">
        <f t="shared" ref="Q49:S49" si="43">IF(Q36&lt;&gt;0,Q36/Q$42,"")</f>
        <v/>
      </c>
      <c r="R49" s="43" t="str">
        <f>IF(R36&lt;&gt;0,R36/R$42,"")</f>
        <v/>
      </c>
      <c r="S49" s="43" t="str">
        <f t="shared" si="43"/>
        <v/>
      </c>
    </row>
    <row r="50" spans="2:19" x14ac:dyDescent="0.3">
      <c r="B50" s="2" t="str">
        <f t="shared" si="39"/>
        <v>Prod.│Serv. 5.</v>
      </c>
      <c r="C50" s="9" t="s">
        <v>90</v>
      </c>
      <c r="D50" s="6" t="s">
        <v>16</v>
      </c>
      <c r="E50" s="10" t="str">
        <f t="shared" si="40"/>
        <v/>
      </c>
      <c r="F50" s="10" t="str">
        <f t="shared" si="40"/>
        <v/>
      </c>
      <c r="G50" s="10" t="str">
        <f t="shared" si="40"/>
        <v/>
      </c>
      <c r="H50" s="10" t="str">
        <f t="shared" si="40"/>
        <v/>
      </c>
      <c r="I50" s="10" t="str">
        <f t="shared" si="40"/>
        <v/>
      </c>
      <c r="J50" s="10" t="str">
        <f t="shared" si="40"/>
        <v/>
      </c>
      <c r="K50" s="10" t="str">
        <f t="shared" si="40"/>
        <v/>
      </c>
      <c r="L50" s="10" t="str">
        <f t="shared" si="40"/>
        <v/>
      </c>
      <c r="M50" s="10" t="str">
        <f t="shared" si="40"/>
        <v/>
      </c>
      <c r="N50" s="10" t="str">
        <f t="shared" si="40"/>
        <v/>
      </c>
      <c r="O50" s="10" t="str">
        <f t="shared" si="40"/>
        <v/>
      </c>
      <c r="P50" s="10" t="str">
        <f t="shared" si="40"/>
        <v/>
      </c>
      <c r="Q50" s="43" t="str">
        <f t="shared" ref="Q50:S50" si="44">IF(Q37&lt;&gt;0,Q37/Q$42,"")</f>
        <v/>
      </c>
      <c r="R50" s="43" t="str">
        <f t="shared" si="44"/>
        <v/>
      </c>
      <c r="S50" s="43" t="str">
        <f t="shared" si="44"/>
        <v/>
      </c>
    </row>
    <row r="51" spans="2:19" x14ac:dyDescent="0.3">
      <c r="B51" s="2" t="str">
        <f t="shared" si="39"/>
        <v>Prod.│Serv. 6.</v>
      </c>
      <c r="C51" s="9" t="s">
        <v>90</v>
      </c>
      <c r="D51" s="6" t="s">
        <v>16</v>
      </c>
      <c r="E51" s="10" t="str">
        <f t="shared" si="40"/>
        <v/>
      </c>
      <c r="F51" s="10" t="str">
        <f t="shared" si="40"/>
        <v/>
      </c>
      <c r="G51" s="10" t="str">
        <f t="shared" si="40"/>
        <v/>
      </c>
      <c r="H51" s="10" t="str">
        <f t="shared" si="40"/>
        <v/>
      </c>
      <c r="I51" s="10" t="str">
        <f t="shared" si="40"/>
        <v/>
      </c>
      <c r="J51" s="10" t="str">
        <f t="shared" si="40"/>
        <v/>
      </c>
      <c r="K51" s="10" t="str">
        <f t="shared" si="40"/>
        <v/>
      </c>
      <c r="L51" s="10" t="str">
        <f t="shared" si="40"/>
        <v/>
      </c>
      <c r="M51" s="10" t="str">
        <f t="shared" si="40"/>
        <v/>
      </c>
      <c r="N51" s="10" t="str">
        <f t="shared" si="40"/>
        <v/>
      </c>
      <c r="O51" s="10" t="str">
        <f t="shared" si="40"/>
        <v/>
      </c>
      <c r="P51" s="10" t="str">
        <f t="shared" si="40"/>
        <v/>
      </c>
      <c r="Q51" s="43" t="str">
        <f t="shared" ref="Q51:S51" si="45">IF(Q38&lt;&gt;0,Q38/Q$42,"")</f>
        <v/>
      </c>
      <c r="R51" s="43" t="str">
        <f t="shared" si="45"/>
        <v/>
      </c>
      <c r="S51" s="43" t="str">
        <f t="shared" si="45"/>
        <v/>
      </c>
    </row>
    <row r="52" spans="2:19" x14ac:dyDescent="0.3">
      <c r="B52" s="2" t="str">
        <f t="shared" si="39"/>
        <v>Prod.│Serv. 7.</v>
      </c>
      <c r="C52" s="9" t="s">
        <v>90</v>
      </c>
      <c r="D52" s="6" t="s">
        <v>16</v>
      </c>
      <c r="E52" s="10" t="str">
        <f t="shared" si="40"/>
        <v/>
      </c>
      <c r="F52" s="10" t="str">
        <f t="shared" si="40"/>
        <v/>
      </c>
      <c r="G52" s="10" t="str">
        <f t="shared" si="40"/>
        <v/>
      </c>
      <c r="H52" s="10" t="str">
        <f t="shared" si="40"/>
        <v/>
      </c>
      <c r="I52" s="10" t="str">
        <f t="shared" si="40"/>
        <v/>
      </c>
      <c r="J52" s="10" t="str">
        <f t="shared" si="40"/>
        <v/>
      </c>
      <c r="K52" s="10" t="str">
        <f t="shared" si="40"/>
        <v/>
      </c>
      <c r="L52" s="10" t="str">
        <f t="shared" si="40"/>
        <v/>
      </c>
      <c r="M52" s="10" t="str">
        <f t="shared" si="40"/>
        <v/>
      </c>
      <c r="N52" s="10" t="str">
        <f t="shared" si="40"/>
        <v/>
      </c>
      <c r="O52" s="10" t="str">
        <f t="shared" si="40"/>
        <v/>
      </c>
      <c r="P52" s="10" t="str">
        <f t="shared" si="40"/>
        <v/>
      </c>
      <c r="Q52" s="43" t="str">
        <f t="shared" ref="Q52:S52" si="46">IF(Q39&lt;&gt;0,Q39/Q$42,"")</f>
        <v/>
      </c>
      <c r="R52" s="43" t="str">
        <f t="shared" si="46"/>
        <v/>
      </c>
      <c r="S52" s="43" t="str">
        <f t="shared" si="46"/>
        <v/>
      </c>
    </row>
    <row r="53" spans="2:19" x14ac:dyDescent="0.3">
      <c r="B53" s="2" t="str">
        <f t="shared" si="39"/>
        <v>Prod.│Serv. 8.</v>
      </c>
      <c r="C53" s="9" t="s">
        <v>90</v>
      </c>
      <c r="D53" s="6" t="s">
        <v>16</v>
      </c>
      <c r="E53" s="10" t="str">
        <f t="shared" si="40"/>
        <v/>
      </c>
      <c r="F53" s="10" t="str">
        <f t="shared" si="40"/>
        <v/>
      </c>
      <c r="G53" s="10" t="str">
        <f t="shared" si="40"/>
        <v/>
      </c>
      <c r="H53" s="10" t="str">
        <f t="shared" si="40"/>
        <v/>
      </c>
      <c r="I53" s="10" t="str">
        <f t="shared" si="40"/>
        <v/>
      </c>
      <c r="J53" s="10" t="str">
        <f t="shared" si="40"/>
        <v/>
      </c>
      <c r="K53" s="10" t="str">
        <f t="shared" si="40"/>
        <v/>
      </c>
      <c r="L53" s="10" t="str">
        <f t="shared" si="40"/>
        <v/>
      </c>
      <c r="M53" s="10" t="str">
        <f t="shared" si="40"/>
        <v/>
      </c>
      <c r="N53" s="10" t="str">
        <f t="shared" si="40"/>
        <v/>
      </c>
      <c r="O53" s="10" t="str">
        <f t="shared" si="40"/>
        <v/>
      </c>
      <c r="P53" s="10" t="str">
        <f t="shared" si="40"/>
        <v/>
      </c>
      <c r="Q53" s="43" t="str">
        <f t="shared" ref="Q53:S53" si="47">IF(Q40&lt;&gt;0,Q40/Q$42,"")</f>
        <v/>
      </c>
      <c r="R53" s="43" t="str">
        <f t="shared" si="47"/>
        <v/>
      </c>
      <c r="S53" s="43" t="str">
        <f t="shared" si="47"/>
        <v/>
      </c>
    </row>
    <row r="54" spans="2:19" x14ac:dyDescent="0.3">
      <c r="B54" s="2" t="str">
        <f t="shared" si="39"/>
        <v>Prod.│Serv. 9.</v>
      </c>
      <c r="C54" s="9" t="s">
        <v>90</v>
      </c>
      <c r="D54" s="6" t="s">
        <v>16</v>
      </c>
      <c r="E54" s="10" t="str">
        <f t="shared" si="40"/>
        <v/>
      </c>
      <c r="F54" s="10" t="str">
        <f t="shared" si="40"/>
        <v/>
      </c>
      <c r="G54" s="10" t="str">
        <f t="shared" si="40"/>
        <v/>
      </c>
      <c r="H54" s="10" t="str">
        <f t="shared" si="40"/>
        <v/>
      </c>
      <c r="I54" s="10" t="str">
        <f t="shared" si="40"/>
        <v/>
      </c>
      <c r="J54" s="10" t="str">
        <f t="shared" si="40"/>
        <v/>
      </c>
      <c r="K54" s="10" t="str">
        <f t="shared" si="40"/>
        <v/>
      </c>
      <c r="L54" s="10" t="str">
        <f t="shared" si="40"/>
        <v/>
      </c>
      <c r="M54" s="10" t="str">
        <f t="shared" si="40"/>
        <v/>
      </c>
      <c r="N54" s="10" t="str">
        <f t="shared" si="40"/>
        <v/>
      </c>
      <c r="O54" s="10" t="str">
        <f t="shared" si="40"/>
        <v/>
      </c>
      <c r="P54" s="10" t="str">
        <f t="shared" si="40"/>
        <v/>
      </c>
      <c r="Q54" s="43" t="str">
        <f t="shared" ref="Q54:S54" si="48">IF(Q41&lt;&gt;0,Q41/Q$42,"")</f>
        <v/>
      </c>
      <c r="R54" s="43" t="str">
        <f t="shared" si="48"/>
        <v/>
      </c>
      <c r="S54" s="43" t="str">
        <f t="shared" si="48"/>
        <v/>
      </c>
    </row>
    <row r="55" spans="2:19" x14ac:dyDescent="0.3">
      <c r="D55" s="5"/>
    </row>
    <row r="56" spans="2:19" x14ac:dyDescent="0.3">
      <c r="B56" s="266" t="s">
        <v>7</v>
      </c>
      <c r="C56" s="276" t="s">
        <v>21</v>
      </c>
      <c r="D56" s="266" t="s">
        <v>9</v>
      </c>
      <c r="E56" s="256" t="s">
        <v>10</v>
      </c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66" t="s">
        <v>11</v>
      </c>
      <c r="R56" s="266" t="s">
        <v>12</v>
      </c>
      <c r="S56" s="266" t="s">
        <v>13</v>
      </c>
    </row>
    <row r="57" spans="2:19" x14ac:dyDescent="0.3">
      <c r="B57" s="266"/>
      <c r="C57" s="276"/>
      <c r="D57" s="266"/>
      <c r="E57" s="38" t="str">
        <f>E21</f>
        <v>Luna I.</v>
      </c>
      <c r="F57" s="38" t="str">
        <f t="shared" ref="F57:P57" si="49">F21</f>
        <v>Luna II.</v>
      </c>
      <c r="G57" s="38" t="str">
        <f t="shared" si="49"/>
        <v>Luna III.</v>
      </c>
      <c r="H57" s="38" t="str">
        <f t="shared" si="49"/>
        <v>Luna IV.</v>
      </c>
      <c r="I57" s="38" t="str">
        <f t="shared" si="49"/>
        <v>Luna V.</v>
      </c>
      <c r="J57" s="38" t="str">
        <f t="shared" si="49"/>
        <v>Luna VI.</v>
      </c>
      <c r="K57" s="38" t="str">
        <f t="shared" si="49"/>
        <v>Luna VII.</v>
      </c>
      <c r="L57" s="38" t="str">
        <f t="shared" si="49"/>
        <v>Luna VIII.</v>
      </c>
      <c r="M57" s="38" t="str">
        <f t="shared" si="49"/>
        <v>Luna IX.</v>
      </c>
      <c r="N57" s="38" t="str">
        <f t="shared" si="49"/>
        <v>Luna X.</v>
      </c>
      <c r="O57" s="38" t="str">
        <f t="shared" si="49"/>
        <v>Luna XI.</v>
      </c>
      <c r="P57" s="38" t="str">
        <f t="shared" si="49"/>
        <v>Luna XII.</v>
      </c>
      <c r="Q57" s="266"/>
      <c r="R57" s="266"/>
      <c r="S57" s="266"/>
    </row>
    <row r="58" spans="2:19" x14ac:dyDescent="0.3">
      <c r="B58" s="256" t="s">
        <v>20</v>
      </c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</row>
    <row r="59" spans="2:19" x14ac:dyDescent="0.3">
      <c r="B59" s="2" t="str">
        <f>B46</f>
        <v>Prod.│Serv. 1.</v>
      </c>
      <c r="C59" s="4">
        <f>$C$16</f>
        <v>100</v>
      </c>
      <c r="D59" s="6" t="s">
        <v>16</v>
      </c>
      <c r="E59" s="4">
        <f>E23*$C59</f>
        <v>11000</v>
      </c>
      <c r="F59" s="4">
        <f t="shared" ref="F59:P59" si="50">F23*$C59</f>
        <v>11000</v>
      </c>
      <c r="G59" s="4">
        <f t="shared" si="50"/>
        <v>11000</v>
      </c>
      <c r="H59" s="4">
        <f t="shared" si="50"/>
        <v>11000</v>
      </c>
      <c r="I59" s="4">
        <f t="shared" si="50"/>
        <v>11000</v>
      </c>
      <c r="J59" s="4">
        <f t="shared" si="50"/>
        <v>11000</v>
      </c>
      <c r="K59" s="4">
        <f t="shared" si="50"/>
        <v>11000</v>
      </c>
      <c r="L59" s="4">
        <f t="shared" si="50"/>
        <v>11000</v>
      </c>
      <c r="M59" s="4">
        <f t="shared" si="50"/>
        <v>11000</v>
      </c>
      <c r="N59" s="4">
        <f t="shared" si="50"/>
        <v>11000</v>
      </c>
      <c r="O59" s="4">
        <f t="shared" si="50"/>
        <v>11000</v>
      </c>
      <c r="P59" s="4">
        <f t="shared" si="50"/>
        <v>11000</v>
      </c>
      <c r="Q59" s="3">
        <f>SUM(E59:P59)</f>
        <v>132000</v>
      </c>
      <c r="R59" s="3">
        <f t="shared" ref="R59:S59" si="51">R23*$C59</f>
        <v>140000</v>
      </c>
      <c r="S59" s="3">
        <f t="shared" si="51"/>
        <v>145000</v>
      </c>
    </row>
    <row r="60" spans="2:19" x14ac:dyDescent="0.3">
      <c r="B60" s="2" t="str">
        <f t="shared" ref="B60:B67" si="52">B47</f>
        <v>Prod.│Serv. 2.</v>
      </c>
      <c r="C60" s="4">
        <f>$E$16</f>
        <v>0</v>
      </c>
      <c r="D60" s="6" t="s">
        <v>16</v>
      </c>
      <c r="E60" s="4">
        <f t="shared" ref="E60:P67" si="53">E24*$C60</f>
        <v>0</v>
      </c>
      <c r="F60" s="4">
        <f t="shared" si="53"/>
        <v>0</v>
      </c>
      <c r="G60" s="4">
        <f t="shared" si="53"/>
        <v>0</v>
      </c>
      <c r="H60" s="4">
        <f t="shared" si="53"/>
        <v>0</v>
      </c>
      <c r="I60" s="4">
        <f t="shared" si="53"/>
        <v>0</v>
      </c>
      <c r="J60" s="4">
        <f t="shared" si="53"/>
        <v>0</v>
      </c>
      <c r="K60" s="4">
        <f t="shared" si="53"/>
        <v>0</v>
      </c>
      <c r="L60" s="4">
        <f t="shared" si="53"/>
        <v>0</v>
      </c>
      <c r="M60" s="4">
        <f t="shared" si="53"/>
        <v>0</v>
      </c>
      <c r="N60" s="4">
        <f t="shared" si="53"/>
        <v>0</v>
      </c>
      <c r="O60" s="4">
        <f t="shared" si="53"/>
        <v>0</v>
      </c>
      <c r="P60" s="4">
        <f t="shared" si="53"/>
        <v>0</v>
      </c>
      <c r="Q60" s="3">
        <f t="shared" ref="Q60:Q66" si="54">SUM(E60:P60)</f>
        <v>0</v>
      </c>
      <c r="R60" s="3">
        <f t="shared" ref="R60:S60" si="55">R24*$C60</f>
        <v>0</v>
      </c>
      <c r="S60" s="3">
        <f t="shared" si="55"/>
        <v>0</v>
      </c>
    </row>
    <row r="61" spans="2:19" x14ac:dyDescent="0.3">
      <c r="B61" s="2" t="str">
        <f t="shared" si="52"/>
        <v>Prod.│Serv. 3.</v>
      </c>
      <c r="C61" s="4">
        <f>$G$16</f>
        <v>0</v>
      </c>
      <c r="D61" s="6" t="s">
        <v>16</v>
      </c>
      <c r="E61" s="4">
        <f t="shared" si="53"/>
        <v>0</v>
      </c>
      <c r="F61" s="4">
        <f t="shared" si="53"/>
        <v>0</v>
      </c>
      <c r="G61" s="4">
        <f t="shared" si="53"/>
        <v>0</v>
      </c>
      <c r="H61" s="4">
        <f t="shared" si="53"/>
        <v>0</v>
      </c>
      <c r="I61" s="4">
        <f t="shared" si="53"/>
        <v>0</v>
      </c>
      <c r="J61" s="4">
        <f t="shared" si="53"/>
        <v>0</v>
      </c>
      <c r="K61" s="4">
        <f t="shared" si="53"/>
        <v>0</v>
      </c>
      <c r="L61" s="4">
        <f t="shared" si="53"/>
        <v>0</v>
      </c>
      <c r="M61" s="4">
        <f t="shared" si="53"/>
        <v>0</v>
      </c>
      <c r="N61" s="4">
        <f t="shared" si="53"/>
        <v>0</v>
      </c>
      <c r="O61" s="4">
        <f t="shared" si="53"/>
        <v>0</v>
      </c>
      <c r="P61" s="4">
        <f t="shared" si="53"/>
        <v>0</v>
      </c>
      <c r="Q61" s="3">
        <f t="shared" si="54"/>
        <v>0</v>
      </c>
      <c r="R61" s="3">
        <f t="shared" ref="R61:S61" si="56">R25*$C61</f>
        <v>0</v>
      </c>
      <c r="S61" s="3">
        <f t="shared" si="56"/>
        <v>0</v>
      </c>
    </row>
    <row r="62" spans="2:19" x14ac:dyDescent="0.3">
      <c r="B62" s="2" t="str">
        <f t="shared" si="52"/>
        <v>Prod.│Serv. 4.</v>
      </c>
      <c r="C62" s="4">
        <f>$I$16</f>
        <v>0</v>
      </c>
      <c r="D62" s="6" t="s">
        <v>16</v>
      </c>
      <c r="E62" s="4">
        <f t="shared" si="53"/>
        <v>0</v>
      </c>
      <c r="F62" s="4">
        <f t="shared" si="53"/>
        <v>0</v>
      </c>
      <c r="G62" s="4">
        <f t="shared" si="53"/>
        <v>0</v>
      </c>
      <c r="H62" s="4">
        <f t="shared" si="53"/>
        <v>0</v>
      </c>
      <c r="I62" s="4">
        <f t="shared" si="53"/>
        <v>0</v>
      </c>
      <c r="J62" s="4">
        <f t="shared" si="53"/>
        <v>0</v>
      </c>
      <c r="K62" s="4">
        <f t="shared" si="53"/>
        <v>0</v>
      </c>
      <c r="L62" s="4">
        <f t="shared" si="53"/>
        <v>0</v>
      </c>
      <c r="M62" s="4">
        <f t="shared" si="53"/>
        <v>0</v>
      </c>
      <c r="N62" s="4">
        <f t="shared" si="53"/>
        <v>0</v>
      </c>
      <c r="O62" s="4">
        <f t="shared" si="53"/>
        <v>0</v>
      </c>
      <c r="P62" s="4">
        <f t="shared" si="53"/>
        <v>0</v>
      </c>
      <c r="Q62" s="3">
        <f t="shared" si="54"/>
        <v>0</v>
      </c>
      <c r="R62" s="3">
        <f t="shared" ref="R62:S62" si="57">R26*$C62</f>
        <v>0</v>
      </c>
      <c r="S62" s="3">
        <f t="shared" si="57"/>
        <v>0</v>
      </c>
    </row>
    <row r="63" spans="2:19" x14ac:dyDescent="0.3">
      <c r="B63" s="2" t="str">
        <f t="shared" si="52"/>
        <v>Prod.│Serv. 5.</v>
      </c>
      <c r="C63" s="4">
        <f>$K$16</f>
        <v>0</v>
      </c>
      <c r="D63" s="6" t="s">
        <v>16</v>
      </c>
      <c r="E63" s="4">
        <f t="shared" si="53"/>
        <v>0</v>
      </c>
      <c r="F63" s="4">
        <f t="shared" si="53"/>
        <v>0</v>
      </c>
      <c r="G63" s="4">
        <f t="shared" si="53"/>
        <v>0</v>
      </c>
      <c r="H63" s="4">
        <f t="shared" si="53"/>
        <v>0</v>
      </c>
      <c r="I63" s="4">
        <f t="shared" si="53"/>
        <v>0</v>
      </c>
      <c r="J63" s="4">
        <f t="shared" si="53"/>
        <v>0</v>
      </c>
      <c r="K63" s="4">
        <f t="shared" si="53"/>
        <v>0</v>
      </c>
      <c r="L63" s="4">
        <f t="shared" si="53"/>
        <v>0</v>
      </c>
      <c r="M63" s="4">
        <f t="shared" si="53"/>
        <v>0</v>
      </c>
      <c r="N63" s="4">
        <f t="shared" si="53"/>
        <v>0</v>
      </c>
      <c r="O63" s="4">
        <f t="shared" si="53"/>
        <v>0</v>
      </c>
      <c r="P63" s="4">
        <f t="shared" si="53"/>
        <v>0</v>
      </c>
      <c r="Q63" s="3">
        <f t="shared" si="54"/>
        <v>0</v>
      </c>
      <c r="R63" s="3">
        <f t="shared" ref="R63:S63" si="58">R27*$C63</f>
        <v>0</v>
      </c>
      <c r="S63" s="3">
        <f t="shared" si="58"/>
        <v>0</v>
      </c>
    </row>
    <row r="64" spans="2:19" x14ac:dyDescent="0.3">
      <c r="B64" s="2" t="str">
        <f t="shared" si="52"/>
        <v>Prod.│Serv. 6.</v>
      </c>
      <c r="C64" s="4">
        <f>$M$16</f>
        <v>0</v>
      </c>
      <c r="D64" s="6" t="s">
        <v>16</v>
      </c>
      <c r="E64" s="4">
        <f t="shared" si="53"/>
        <v>0</v>
      </c>
      <c r="F64" s="4">
        <f t="shared" si="53"/>
        <v>0</v>
      </c>
      <c r="G64" s="4">
        <f t="shared" si="53"/>
        <v>0</v>
      </c>
      <c r="H64" s="4">
        <f t="shared" si="53"/>
        <v>0</v>
      </c>
      <c r="I64" s="4">
        <f t="shared" si="53"/>
        <v>0</v>
      </c>
      <c r="J64" s="4">
        <f t="shared" si="53"/>
        <v>0</v>
      </c>
      <c r="K64" s="4">
        <f t="shared" si="53"/>
        <v>0</v>
      </c>
      <c r="L64" s="4">
        <f t="shared" si="53"/>
        <v>0</v>
      </c>
      <c r="M64" s="4">
        <f t="shared" si="53"/>
        <v>0</v>
      </c>
      <c r="N64" s="4">
        <f t="shared" si="53"/>
        <v>0</v>
      </c>
      <c r="O64" s="4">
        <f t="shared" si="53"/>
        <v>0</v>
      </c>
      <c r="P64" s="4">
        <f t="shared" si="53"/>
        <v>0</v>
      </c>
      <c r="Q64" s="3">
        <f t="shared" si="54"/>
        <v>0</v>
      </c>
      <c r="R64" s="3">
        <f t="shared" ref="R64:S64" si="59">R28*$C64</f>
        <v>0</v>
      </c>
      <c r="S64" s="3">
        <f t="shared" si="59"/>
        <v>0</v>
      </c>
    </row>
    <row r="65" spans="2:19" x14ac:dyDescent="0.3">
      <c r="B65" s="2" t="str">
        <f t="shared" si="52"/>
        <v>Prod.│Serv. 7.</v>
      </c>
      <c r="C65" s="4">
        <f>$O$16</f>
        <v>0</v>
      </c>
      <c r="D65" s="6" t="s">
        <v>16</v>
      </c>
      <c r="E65" s="4">
        <f t="shared" si="53"/>
        <v>0</v>
      </c>
      <c r="F65" s="4">
        <f t="shared" si="53"/>
        <v>0</v>
      </c>
      <c r="G65" s="4">
        <f t="shared" si="53"/>
        <v>0</v>
      </c>
      <c r="H65" s="4">
        <f t="shared" si="53"/>
        <v>0</v>
      </c>
      <c r="I65" s="4">
        <f t="shared" si="53"/>
        <v>0</v>
      </c>
      <c r="J65" s="4">
        <f t="shared" si="53"/>
        <v>0</v>
      </c>
      <c r="K65" s="4">
        <f t="shared" si="53"/>
        <v>0</v>
      </c>
      <c r="L65" s="4">
        <f t="shared" si="53"/>
        <v>0</v>
      </c>
      <c r="M65" s="4">
        <f t="shared" si="53"/>
        <v>0</v>
      </c>
      <c r="N65" s="4">
        <f t="shared" si="53"/>
        <v>0</v>
      </c>
      <c r="O65" s="4">
        <f t="shared" si="53"/>
        <v>0</v>
      </c>
      <c r="P65" s="4">
        <f t="shared" si="53"/>
        <v>0</v>
      </c>
      <c r="Q65" s="3">
        <f t="shared" si="54"/>
        <v>0</v>
      </c>
      <c r="R65" s="3">
        <f t="shared" ref="R65:S65" si="60">R29*$C65</f>
        <v>0</v>
      </c>
      <c r="S65" s="3">
        <f t="shared" si="60"/>
        <v>0</v>
      </c>
    </row>
    <row r="66" spans="2:19" x14ac:dyDescent="0.3">
      <c r="B66" s="2" t="str">
        <f t="shared" si="52"/>
        <v>Prod.│Serv. 8.</v>
      </c>
      <c r="C66" s="4">
        <f>$Q$16</f>
        <v>0</v>
      </c>
      <c r="D66" s="6" t="s">
        <v>16</v>
      </c>
      <c r="E66" s="4">
        <f t="shared" si="53"/>
        <v>0</v>
      </c>
      <c r="F66" s="4">
        <f t="shared" si="53"/>
        <v>0</v>
      </c>
      <c r="G66" s="4">
        <f t="shared" si="53"/>
        <v>0</v>
      </c>
      <c r="H66" s="4">
        <f t="shared" si="53"/>
        <v>0</v>
      </c>
      <c r="I66" s="4">
        <f t="shared" si="53"/>
        <v>0</v>
      </c>
      <c r="J66" s="4">
        <f t="shared" si="53"/>
        <v>0</v>
      </c>
      <c r="K66" s="4">
        <f t="shared" si="53"/>
        <v>0</v>
      </c>
      <c r="L66" s="4">
        <f t="shared" si="53"/>
        <v>0</v>
      </c>
      <c r="M66" s="4">
        <f t="shared" si="53"/>
        <v>0</v>
      </c>
      <c r="N66" s="4">
        <f t="shared" si="53"/>
        <v>0</v>
      </c>
      <c r="O66" s="4">
        <f t="shared" si="53"/>
        <v>0</v>
      </c>
      <c r="P66" s="4">
        <f t="shared" si="53"/>
        <v>0</v>
      </c>
      <c r="Q66" s="3">
        <f t="shared" si="54"/>
        <v>0</v>
      </c>
      <c r="R66" s="3">
        <f t="shared" ref="R66:S66" si="61">R30*$C66</f>
        <v>0</v>
      </c>
      <c r="S66" s="3">
        <f t="shared" si="61"/>
        <v>0</v>
      </c>
    </row>
    <row r="67" spans="2:19" x14ac:dyDescent="0.3">
      <c r="B67" s="2" t="str">
        <f t="shared" si="52"/>
        <v>Prod.│Serv. 9.</v>
      </c>
      <c r="C67" s="4">
        <f>$S$16</f>
        <v>0</v>
      </c>
      <c r="D67" s="6" t="s">
        <v>16</v>
      </c>
      <c r="E67" s="4">
        <f t="shared" si="53"/>
        <v>0</v>
      </c>
      <c r="F67" s="4">
        <f t="shared" si="53"/>
        <v>0</v>
      </c>
      <c r="G67" s="4">
        <f t="shared" si="53"/>
        <v>0</v>
      </c>
      <c r="H67" s="4">
        <f t="shared" si="53"/>
        <v>0</v>
      </c>
      <c r="I67" s="4">
        <f t="shared" si="53"/>
        <v>0</v>
      </c>
      <c r="J67" s="4">
        <f t="shared" si="53"/>
        <v>0</v>
      </c>
      <c r="K67" s="4">
        <f t="shared" si="53"/>
        <v>0</v>
      </c>
      <c r="L67" s="4">
        <f t="shared" si="53"/>
        <v>0</v>
      </c>
      <c r="M67" s="4">
        <f t="shared" si="53"/>
        <v>0</v>
      </c>
      <c r="N67" s="4">
        <f t="shared" si="53"/>
        <v>0</v>
      </c>
      <c r="O67" s="4">
        <f t="shared" si="53"/>
        <v>0</v>
      </c>
      <c r="P67" s="4">
        <f t="shared" si="53"/>
        <v>0</v>
      </c>
      <c r="Q67" s="3">
        <f>SUM(E67:P67)</f>
        <v>0</v>
      </c>
      <c r="R67" s="3">
        <f t="shared" ref="R67:S67" si="62">R31*$C67</f>
        <v>0</v>
      </c>
      <c r="S67" s="3">
        <f t="shared" si="62"/>
        <v>0</v>
      </c>
    </row>
    <row r="68" spans="2:19" x14ac:dyDescent="0.3">
      <c r="B68" s="274" t="s">
        <v>22</v>
      </c>
      <c r="C68" s="274"/>
      <c r="D68" s="38" t="s">
        <v>16</v>
      </c>
      <c r="E68" s="8">
        <f>SUM(E59:E67)</f>
        <v>11000</v>
      </c>
      <c r="F68" s="8">
        <f t="shared" ref="F68:S68" si="63">SUM(F59:F67)</f>
        <v>11000</v>
      </c>
      <c r="G68" s="8">
        <f>SUM(G59:G67)</f>
        <v>11000</v>
      </c>
      <c r="H68" s="8">
        <f t="shared" si="63"/>
        <v>11000</v>
      </c>
      <c r="I68" s="8">
        <f>SUM(I59:I67)</f>
        <v>11000</v>
      </c>
      <c r="J68" s="8">
        <f t="shared" si="63"/>
        <v>11000</v>
      </c>
      <c r="K68" s="8">
        <f t="shared" si="63"/>
        <v>11000</v>
      </c>
      <c r="L68" s="8">
        <f t="shared" si="63"/>
        <v>11000</v>
      </c>
      <c r="M68" s="8">
        <f t="shared" si="63"/>
        <v>11000</v>
      </c>
      <c r="N68" s="8">
        <f t="shared" si="63"/>
        <v>11000</v>
      </c>
      <c r="O68" s="8">
        <f t="shared" si="63"/>
        <v>11000</v>
      </c>
      <c r="P68" s="8">
        <f t="shared" si="63"/>
        <v>11000</v>
      </c>
      <c r="Q68" s="8">
        <f t="shared" si="63"/>
        <v>132000</v>
      </c>
      <c r="R68" s="8">
        <f t="shared" si="63"/>
        <v>140000</v>
      </c>
      <c r="S68" s="8">
        <f t="shared" si="63"/>
        <v>145000</v>
      </c>
    </row>
  </sheetData>
  <sheetProtection algorithmName="SHA-512" hashValue="LBHbqG2eb0xP0MTb1wgaa0IoGWhwXzVEKvxu2es4+snHFNAouoEjaEsaGcO2MWI2O/jrHJ0di2p+Z/QdPzf03Q==" saltValue="XzdMfotwNqkVPJZ1zhdEOw==" spinCount="100000" sheet="1" objects="1" scenarios="1"/>
  <mergeCells count="69">
    <mergeCell ref="R56:R57"/>
    <mergeCell ref="S56:S57"/>
    <mergeCell ref="B58:S58"/>
    <mergeCell ref="B68:C68"/>
    <mergeCell ref="B56:B57"/>
    <mergeCell ref="C56:C57"/>
    <mergeCell ref="D56:D57"/>
    <mergeCell ref="E56:P56"/>
    <mergeCell ref="Q56:Q57"/>
    <mergeCell ref="B32:S32"/>
    <mergeCell ref="B45:S45"/>
    <mergeCell ref="C6:F6"/>
    <mergeCell ref="C7:F7"/>
    <mergeCell ref="C8:F8"/>
    <mergeCell ref="C9:F9"/>
    <mergeCell ref="E20:P20"/>
    <mergeCell ref="B22:S22"/>
    <mergeCell ref="S20:S21"/>
    <mergeCell ref="R20:R21"/>
    <mergeCell ref="Q20:Q21"/>
    <mergeCell ref="B42:C42"/>
    <mergeCell ref="B44:C44"/>
    <mergeCell ref="B43:C43"/>
    <mergeCell ref="D20:D21"/>
    <mergeCell ref="C20:C21"/>
    <mergeCell ref="B20:B21"/>
    <mergeCell ref="Q11:R11"/>
    <mergeCell ref="O11:P11"/>
    <mergeCell ref="M11:N11"/>
    <mergeCell ref="K11:L11"/>
    <mergeCell ref="I11:J11"/>
    <mergeCell ref="G11:H11"/>
    <mergeCell ref="E11:F11"/>
    <mergeCell ref="C11:D11"/>
    <mergeCell ref="B12:S12"/>
    <mergeCell ref="C14:D14"/>
    <mergeCell ref="E14:F14"/>
    <mergeCell ref="G14:H14"/>
    <mergeCell ref="I14:J14"/>
    <mergeCell ref="K14:L14"/>
    <mergeCell ref="M14:N14"/>
    <mergeCell ref="C13:D13"/>
    <mergeCell ref="O14:P14"/>
    <mergeCell ref="Q14:R14"/>
    <mergeCell ref="Q13:R13"/>
    <mergeCell ref="O13:P13"/>
    <mergeCell ref="M13:N13"/>
    <mergeCell ref="G16:H16"/>
    <mergeCell ref="E16:F16"/>
    <mergeCell ref="K13:L13"/>
    <mergeCell ref="I13:J13"/>
    <mergeCell ref="G13:H13"/>
    <mergeCell ref="E13:F13"/>
    <mergeCell ref="C16:D16"/>
    <mergeCell ref="B17:S17"/>
    <mergeCell ref="B15:S15"/>
    <mergeCell ref="Q18:R18"/>
    <mergeCell ref="O18:P18"/>
    <mergeCell ref="M18:N18"/>
    <mergeCell ref="K18:L18"/>
    <mergeCell ref="I18:J18"/>
    <mergeCell ref="G18:H18"/>
    <mergeCell ref="E18:F18"/>
    <mergeCell ref="C18:D18"/>
    <mergeCell ref="Q16:R16"/>
    <mergeCell ref="O16:P16"/>
    <mergeCell ref="M16:N16"/>
    <mergeCell ref="K16:L16"/>
    <mergeCell ref="I16:J16"/>
  </mergeCells>
  <pageMargins left="0.25" right="0.25" top="0.75" bottom="0.75" header="0.3" footer="0.3"/>
  <pageSetup paperSize="9" scale="72" orientation="landscape" r:id="rId1"/>
  <ignoredErrors>
    <ignoredError sqref="Q33:Q41" formula="1"/>
    <ignoredError sqref="C6:F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8026-1CC2-440F-A2FE-CDA46448BCF4}">
  <sheetPr>
    <pageSetUpPr fitToPage="1"/>
  </sheetPr>
  <dimension ref="B6:X81"/>
  <sheetViews>
    <sheetView showGridLines="0" topLeftCell="A34" zoomScale="96" zoomScaleNormal="96" workbookViewId="0">
      <selection activeCell="I42" sqref="I42"/>
    </sheetView>
  </sheetViews>
  <sheetFormatPr defaultColWidth="9.109375" defaultRowHeight="14.4" x14ac:dyDescent="0.3"/>
  <cols>
    <col min="1" max="1" width="3.44140625" style="118" customWidth="1"/>
    <col min="2" max="2" width="47.44140625" style="118" bestFit="1" customWidth="1"/>
    <col min="3" max="3" width="9.109375" style="118"/>
    <col min="4" max="15" width="10.109375" style="118" customWidth="1"/>
    <col min="16" max="16" width="13.109375" style="118" customWidth="1"/>
    <col min="17" max="17" width="9.44140625" style="119" bestFit="1" customWidth="1"/>
    <col min="18" max="18" width="13.109375" style="118" customWidth="1"/>
    <col min="19" max="19" width="9.44140625" style="118" bestFit="1" customWidth="1"/>
    <col min="20" max="20" width="13.109375" style="118" customWidth="1"/>
    <col min="21" max="23" width="9.109375" style="118"/>
    <col min="24" max="24" width="0" style="118" hidden="1" customWidth="1"/>
    <col min="25" max="16384" width="9.109375" style="118"/>
  </cols>
  <sheetData>
    <row r="6" spans="2:20" x14ac:dyDescent="0.3">
      <c r="B6" s="36" t="s">
        <v>130</v>
      </c>
      <c r="C6" s="270" t="str">
        <f>Centralizator!C6</f>
        <v>se completează pe pagina Centralizator</v>
      </c>
      <c r="D6" s="271"/>
      <c r="E6" s="271"/>
      <c r="F6" s="272"/>
    </row>
    <row r="7" spans="2:20" ht="14.25" customHeight="1" x14ac:dyDescent="0.3">
      <c r="B7" s="36" t="s">
        <v>131</v>
      </c>
      <c r="C7" s="270" t="str">
        <f>Centralizator!C7</f>
        <v>se completează pe pagina Centralizator</v>
      </c>
      <c r="D7" s="271"/>
      <c r="E7" s="271"/>
      <c r="F7" s="272"/>
    </row>
    <row r="8" spans="2:20" ht="14.25" customHeight="1" x14ac:dyDescent="0.3">
      <c r="B8" s="36" t="s">
        <v>132</v>
      </c>
      <c r="C8" s="270" t="str">
        <f>Centralizator!C8</f>
        <v>se completează pe pagina Centralizator</v>
      </c>
      <c r="D8" s="271"/>
      <c r="E8" s="271"/>
      <c r="F8" s="272"/>
    </row>
    <row r="9" spans="2:20" ht="14.25" customHeight="1" x14ac:dyDescent="0.3">
      <c r="B9" s="36" t="s">
        <v>133</v>
      </c>
      <c r="C9" s="270" t="str">
        <f>Centralizator!C9</f>
        <v>se completează pe pagina Centralizator</v>
      </c>
      <c r="D9" s="271"/>
      <c r="E9" s="271"/>
      <c r="F9" s="272"/>
    </row>
    <row r="11" spans="2:20" x14ac:dyDescent="0.3">
      <c r="B11" s="281" t="s">
        <v>7</v>
      </c>
      <c r="C11" s="281" t="s">
        <v>9</v>
      </c>
      <c r="D11" s="279" t="s">
        <v>10</v>
      </c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81" t="s">
        <v>11</v>
      </c>
      <c r="Q11" s="283" t="s">
        <v>12</v>
      </c>
      <c r="R11" s="284"/>
      <c r="S11" s="283" t="s">
        <v>13</v>
      </c>
      <c r="T11" s="284"/>
    </row>
    <row r="12" spans="2:20" x14ac:dyDescent="0.3">
      <c r="B12" s="281"/>
      <c r="C12" s="281"/>
      <c r="D12" s="120" t="str">
        <f>'Prog. veniturilor'!E57</f>
        <v>Luna I.</v>
      </c>
      <c r="E12" s="120" t="str">
        <f>'Prog. veniturilor'!F57</f>
        <v>Luna II.</v>
      </c>
      <c r="F12" s="120" t="str">
        <f>'Prog. veniturilor'!G57</f>
        <v>Luna III.</v>
      </c>
      <c r="G12" s="120" t="str">
        <f>'Prog. veniturilor'!H57</f>
        <v>Luna IV.</v>
      </c>
      <c r="H12" s="120" t="str">
        <f>'Prog. veniturilor'!I57</f>
        <v>Luna V.</v>
      </c>
      <c r="I12" s="120" t="str">
        <f>'Prog. veniturilor'!J57</f>
        <v>Luna VI.</v>
      </c>
      <c r="J12" s="120" t="str">
        <f>'Prog. veniturilor'!K57</f>
        <v>Luna VII.</v>
      </c>
      <c r="K12" s="120" t="str">
        <f>'Prog. veniturilor'!L57</f>
        <v>Luna VIII.</v>
      </c>
      <c r="L12" s="120" t="str">
        <f>'Prog. veniturilor'!M57</f>
        <v>Luna IX.</v>
      </c>
      <c r="M12" s="120" t="str">
        <f>'Prog. veniturilor'!N57</f>
        <v>Luna X.</v>
      </c>
      <c r="N12" s="120" t="str">
        <f>'Prog. veniturilor'!O57</f>
        <v>Luna XI.</v>
      </c>
      <c r="O12" s="120" t="str">
        <f>'Prog. veniturilor'!P57</f>
        <v>Luna XII.</v>
      </c>
      <c r="P12" s="281"/>
      <c r="Q12" s="285"/>
      <c r="R12" s="286"/>
      <c r="S12" s="285"/>
      <c r="T12" s="286"/>
    </row>
    <row r="13" spans="2:20" ht="15" thickBot="1" x14ac:dyDescent="0.35">
      <c r="B13" s="279" t="s">
        <v>39</v>
      </c>
      <c r="C13" s="279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79"/>
      <c r="Q13" s="282"/>
      <c r="R13" s="279"/>
      <c r="S13" s="282"/>
      <c r="T13" s="279"/>
    </row>
    <row r="14" spans="2:20" ht="15" thickTop="1" x14ac:dyDescent="0.3">
      <c r="B14" s="121" t="s">
        <v>40</v>
      </c>
      <c r="C14" s="122" t="s">
        <v>16</v>
      </c>
      <c r="D14" s="155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7"/>
      <c r="P14" s="123">
        <f>SUM(D14:O14)</f>
        <v>0</v>
      </c>
      <c r="Q14" s="166">
        <v>0</v>
      </c>
      <c r="R14" s="123">
        <f>ROUND(P14*(1+Q14),2)</f>
        <v>0</v>
      </c>
      <c r="S14" s="166">
        <v>0</v>
      </c>
      <c r="T14" s="124">
        <f t="shared" ref="T14:T15" si="0">ROUND(R14*(1+S14),2)</f>
        <v>0</v>
      </c>
    </row>
    <row r="15" spans="2:20" ht="15" thickBot="1" x14ac:dyDescent="0.35">
      <c r="B15" s="121" t="s">
        <v>41</v>
      </c>
      <c r="C15" s="122" t="s">
        <v>16</v>
      </c>
      <c r="D15" s="158">
        <v>500</v>
      </c>
      <c r="E15" s="159">
        <v>500</v>
      </c>
      <c r="F15" s="159">
        <v>500</v>
      </c>
      <c r="G15" s="159">
        <v>500</v>
      </c>
      <c r="H15" s="159">
        <v>500</v>
      </c>
      <c r="I15" s="159">
        <v>500</v>
      </c>
      <c r="J15" s="159">
        <v>500</v>
      </c>
      <c r="K15" s="159">
        <v>500</v>
      </c>
      <c r="L15" s="159">
        <v>500</v>
      </c>
      <c r="M15" s="159">
        <v>500</v>
      </c>
      <c r="N15" s="159">
        <v>500</v>
      </c>
      <c r="O15" s="160">
        <v>500</v>
      </c>
      <c r="P15" s="123">
        <f t="shared" ref="P15:P33" si="1">SUM(D15:O15)</f>
        <v>6000</v>
      </c>
      <c r="Q15" s="167">
        <v>0</v>
      </c>
      <c r="R15" s="123">
        <f>ROUND(P15*(1+Q15),2)</f>
        <v>6000</v>
      </c>
      <c r="S15" s="167">
        <v>0</v>
      </c>
      <c r="T15" s="124">
        <f t="shared" si="0"/>
        <v>6000</v>
      </c>
    </row>
    <row r="16" spans="2:20" ht="15.6" thickTop="1" thickBot="1" x14ac:dyDescent="0.35">
      <c r="B16" s="121" t="s">
        <v>42</v>
      </c>
      <c r="C16" s="125" t="s">
        <v>16</v>
      </c>
      <c r="D16" s="126">
        <f>D17+D18</f>
        <v>1600</v>
      </c>
      <c r="E16" s="126">
        <f t="shared" ref="E16:O16" si="2">E17+E18</f>
        <v>1600</v>
      </c>
      <c r="F16" s="126">
        <f t="shared" si="2"/>
        <v>1600</v>
      </c>
      <c r="G16" s="126">
        <f t="shared" si="2"/>
        <v>1600</v>
      </c>
      <c r="H16" s="126">
        <f t="shared" si="2"/>
        <v>1600</v>
      </c>
      <c r="I16" s="126">
        <f t="shared" si="2"/>
        <v>1600</v>
      </c>
      <c r="J16" s="126">
        <f t="shared" si="2"/>
        <v>1600</v>
      </c>
      <c r="K16" s="126">
        <f t="shared" si="2"/>
        <v>1600</v>
      </c>
      <c r="L16" s="126">
        <f t="shared" si="2"/>
        <v>1600</v>
      </c>
      <c r="M16" s="126">
        <f t="shared" si="2"/>
        <v>1600</v>
      </c>
      <c r="N16" s="126">
        <f t="shared" si="2"/>
        <v>1600</v>
      </c>
      <c r="O16" s="126">
        <f t="shared" si="2"/>
        <v>1600</v>
      </c>
      <c r="P16" s="127">
        <f t="shared" si="1"/>
        <v>19200</v>
      </c>
      <c r="Q16" s="128" t="s">
        <v>23</v>
      </c>
      <c r="R16" s="127">
        <f t="shared" ref="R16" si="3">R17+R18</f>
        <v>19200</v>
      </c>
      <c r="S16" s="128" t="s">
        <v>23</v>
      </c>
      <c r="T16" s="127">
        <f t="shared" ref="T16" si="4">T17+T18</f>
        <v>19200</v>
      </c>
    </row>
    <row r="17" spans="2:20" ht="15" thickTop="1" x14ac:dyDescent="0.3">
      <c r="B17" s="121" t="s">
        <v>43</v>
      </c>
      <c r="C17" s="122" t="s">
        <v>16</v>
      </c>
      <c r="D17" s="155">
        <v>600</v>
      </c>
      <c r="E17" s="156">
        <v>600</v>
      </c>
      <c r="F17" s="156">
        <v>600</v>
      </c>
      <c r="G17" s="156">
        <v>600</v>
      </c>
      <c r="H17" s="156">
        <v>600</v>
      </c>
      <c r="I17" s="156">
        <v>600</v>
      </c>
      <c r="J17" s="156">
        <v>600</v>
      </c>
      <c r="K17" s="156">
        <v>600</v>
      </c>
      <c r="L17" s="156">
        <v>600</v>
      </c>
      <c r="M17" s="156">
        <v>600</v>
      </c>
      <c r="N17" s="156">
        <v>600</v>
      </c>
      <c r="O17" s="157">
        <v>600</v>
      </c>
      <c r="P17" s="123">
        <f t="shared" si="1"/>
        <v>7200</v>
      </c>
      <c r="Q17" s="166">
        <v>0</v>
      </c>
      <c r="R17" s="123">
        <f t="shared" ref="R17:R18" si="5">ROUND(P17*(1+Q17),2)</f>
        <v>7200</v>
      </c>
      <c r="S17" s="166">
        <v>0</v>
      </c>
      <c r="T17" s="124">
        <f t="shared" ref="T17:T18" si="6">ROUND(R17*(1+S17),2)</f>
        <v>7200</v>
      </c>
    </row>
    <row r="18" spans="2:20" ht="15" thickBot="1" x14ac:dyDescent="0.35">
      <c r="B18" s="121" t="s">
        <v>44</v>
      </c>
      <c r="C18" s="122" t="s">
        <v>16</v>
      </c>
      <c r="D18" s="158">
        <v>1000</v>
      </c>
      <c r="E18" s="159">
        <v>1000</v>
      </c>
      <c r="F18" s="159">
        <v>1000</v>
      </c>
      <c r="G18" s="159">
        <v>1000</v>
      </c>
      <c r="H18" s="159">
        <v>1000</v>
      </c>
      <c r="I18" s="159">
        <v>1000</v>
      </c>
      <c r="J18" s="159">
        <v>1000</v>
      </c>
      <c r="K18" s="159">
        <v>1000</v>
      </c>
      <c r="L18" s="159">
        <v>1000</v>
      </c>
      <c r="M18" s="159">
        <v>1000</v>
      </c>
      <c r="N18" s="159">
        <v>1000</v>
      </c>
      <c r="O18" s="160">
        <v>1000</v>
      </c>
      <c r="P18" s="123">
        <f t="shared" si="1"/>
        <v>12000</v>
      </c>
      <c r="Q18" s="167">
        <v>0</v>
      </c>
      <c r="R18" s="123">
        <f t="shared" si="5"/>
        <v>12000</v>
      </c>
      <c r="S18" s="167">
        <v>0</v>
      </c>
      <c r="T18" s="124">
        <f t="shared" si="6"/>
        <v>12000</v>
      </c>
    </row>
    <row r="19" spans="2:20" ht="15" thickTop="1" x14ac:dyDescent="0.3">
      <c r="B19" s="121" t="str">
        <f>B56</f>
        <v>Cheltuieli personale - total</v>
      </c>
      <c r="C19" s="125" t="s">
        <v>16</v>
      </c>
      <c r="D19" s="129">
        <f t="shared" ref="D19:O19" si="7">D20+D21</f>
        <v>3137.4</v>
      </c>
      <c r="E19" s="129">
        <f t="shared" si="7"/>
        <v>3137.4</v>
      </c>
      <c r="F19" s="129">
        <f t="shared" si="7"/>
        <v>3137.4</v>
      </c>
      <c r="G19" s="129">
        <f t="shared" si="7"/>
        <v>6274.8</v>
      </c>
      <c r="H19" s="129">
        <f t="shared" si="7"/>
        <v>6274.8</v>
      </c>
      <c r="I19" s="129">
        <f t="shared" si="7"/>
        <v>6274.8</v>
      </c>
      <c r="J19" s="129">
        <f t="shared" si="7"/>
        <v>6274.8</v>
      </c>
      <c r="K19" s="129">
        <f t="shared" si="7"/>
        <v>6274.8</v>
      </c>
      <c r="L19" s="129">
        <f t="shared" si="7"/>
        <v>6274.8</v>
      </c>
      <c r="M19" s="129">
        <f t="shared" si="7"/>
        <v>6274.8</v>
      </c>
      <c r="N19" s="129">
        <f t="shared" si="7"/>
        <v>6274.8</v>
      </c>
      <c r="O19" s="129">
        <f t="shared" si="7"/>
        <v>6274.8</v>
      </c>
      <c r="P19" s="127">
        <f t="shared" si="1"/>
        <v>65885.400000000009</v>
      </c>
      <c r="Q19" s="130" t="s">
        <v>23</v>
      </c>
      <c r="R19" s="127">
        <f>R20+R21</f>
        <v>75297.600000000006</v>
      </c>
      <c r="S19" s="130" t="s">
        <v>23</v>
      </c>
      <c r="T19" s="127">
        <f>T20+T21</f>
        <v>75297.600000000006</v>
      </c>
    </row>
    <row r="20" spans="2:20" x14ac:dyDescent="0.3">
      <c r="B20" s="121" t="str">
        <f>B54</f>
        <v>Cheltuieli personale net</v>
      </c>
      <c r="C20" s="125" t="s">
        <v>16</v>
      </c>
      <c r="D20" s="131">
        <f>F54</f>
        <v>1800</v>
      </c>
      <c r="E20" s="131">
        <f t="shared" ref="E20:O20" si="8">G54</f>
        <v>1800</v>
      </c>
      <c r="F20" s="131">
        <f t="shared" si="8"/>
        <v>1800</v>
      </c>
      <c r="G20" s="131">
        <f t="shared" si="8"/>
        <v>3600</v>
      </c>
      <c r="H20" s="131">
        <f t="shared" si="8"/>
        <v>3600</v>
      </c>
      <c r="I20" s="131">
        <f t="shared" si="8"/>
        <v>3600</v>
      </c>
      <c r="J20" s="131">
        <f t="shared" si="8"/>
        <v>3600</v>
      </c>
      <c r="K20" s="131">
        <f t="shared" si="8"/>
        <v>3600</v>
      </c>
      <c r="L20" s="131">
        <f t="shared" si="8"/>
        <v>3600</v>
      </c>
      <c r="M20" s="131">
        <f t="shared" si="8"/>
        <v>3600</v>
      </c>
      <c r="N20" s="131">
        <f t="shared" si="8"/>
        <v>3600</v>
      </c>
      <c r="O20" s="131">
        <f t="shared" si="8"/>
        <v>3600</v>
      </c>
      <c r="P20" s="127">
        <f t="shared" si="1"/>
        <v>37800</v>
      </c>
      <c r="Q20" s="132" t="s">
        <v>23</v>
      </c>
      <c r="R20" s="127">
        <f>S54</f>
        <v>43200</v>
      </c>
      <c r="S20" s="132" t="s">
        <v>23</v>
      </c>
      <c r="T20" s="127">
        <f>T54</f>
        <v>43200</v>
      </c>
    </row>
    <row r="21" spans="2:20" ht="15" thickBot="1" x14ac:dyDescent="0.35">
      <c r="B21" s="121" t="str">
        <f>B55</f>
        <v>Cheltuieli cu asigurarile si protectia sociala</v>
      </c>
      <c r="C21" s="125" t="s">
        <v>16</v>
      </c>
      <c r="D21" s="133">
        <f>F55</f>
        <v>1337.4</v>
      </c>
      <c r="E21" s="133">
        <f t="shared" ref="E21:O21" si="9">G55</f>
        <v>1337.4</v>
      </c>
      <c r="F21" s="133">
        <f t="shared" si="9"/>
        <v>1337.4</v>
      </c>
      <c r="G21" s="133">
        <f t="shared" si="9"/>
        <v>2674.8</v>
      </c>
      <c r="H21" s="133">
        <f t="shared" si="9"/>
        <v>2674.8</v>
      </c>
      <c r="I21" s="133">
        <f t="shared" si="9"/>
        <v>2674.8</v>
      </c>
      <c r="J21" s="133">
        <f t="shared" si="9"/>
        <v>2674.8</v>
      </c>
      <c r="K21" s="133">
        <f t="shared" si="9"/>
        <v>2674.8</v>
      </c>
      <c r="L21" s="133">
        <f t="shared" si="9"/>
        <v>2674.8</v>
      </c>
      <c r="M21" s="133">
        <f t="shared" si="9"/>
        <v>2674.8</v>
      </c>
      <c r="N21" s="133">
        <f t="shared" si="9"/>
        <v>2674.8</v>
      </c>
      <c r="O21" s="133">
        <f t="shared" si="9"/>
        <v>2674.8</v>
      </c>
      <c r="P21" s="127">
        <f t="shared" si="1"/>
        <v>28085.399999999994</v>
      </c>
      <c r="Q21" s="134" t="s">
        <v>23</v>
      </c>
      <c r="R21" s="127">
        <f>S55</f>
        <v>32097.600000000006</v>
      </c>
      <c r="S21" s="134" t="s">
        <v>23</v>
      </c>
      <c r="T21" s="127">
        <f>T55</f>
        <v>32097.600000000006</v>
      </c>
    </row>
    <row r="22" spans="2:20" ht="15.6" thickTop="1" thickBot="1" x14ac:dyDescent="0.35">
      <c r="B22" s="121" t="s">
        <v>45</v>
      </c>
      <c r="C22" s="122" t="s">
        <v>16</v>
      </c>
      <c r="D22" s="161">
        <v>1000</v>
      </c>
      <c r="E22" s="162">
        <v>1000</v>
      </c>
      <c r="F22" s="162">
        <v>1000</v>
      </c>
      <c r="G22" s="162">
        <v>1000</v>
      </c>
      <c r="H22" s="162">
        <v>1000</v>
      </c>
      <c r="I22" s="162">
        <v>1000</v>
      </c>
      <c r="J22" s="162">
        <v>1000</v>
      </c>
      <c r="K22" s="162">
        <v>1000</v>
      </c>
      <c r="L22" s="162">
        <v>1000</v>
      </c>
      <c r="M22" s="162">
        <v>1000</v>
      </c>
      <c r="N22" s="162">
        <v>1000</v>
      </c>
      <c r="O22" s="163">
        <v>1000</v>
      </c>
      <c r="P22" s="123">
        <f t="shared" si="1"/>
        <v>12000</v>
      </c>
      <c r="Q22" s="168">
        <v>0</v>
      </c>
      <c r="R22" s="123">
        <f>ROUND(P22*(1+Q22),2)</f>
        <v>12000</v>
      </c>
      <c r="S22" s="168">
        <v>0</v>
      </c>
      <c r="T22" s="124">
        <f>ROUND(R22*(1+S22),2)</f>
        <v>12000</v>
      </c>
    </row>
    <row r="23" spans="2:20" ht="15.6" thickTop="1" thickBot="1" x14ac:dyDescent="0.35">
      <c r="B23" s="121" t="s">
        <v>46</v>
      </c>
      <c r="C23" s="125" t="s">
        <v>16</v>
      </c>
      <c r="D23" s="126">
        <f t="shared" ref="D23:O23" si="10">D24+D25+D26+D27</f>
        <v>550</v>
      </c>
      <c r="E23" s="126">
        <f t="shared" si="10"/>
        <v>550</v>
      </c>
      <c r="F23" s="126">
        <f t="shared" si="10"/>
        <v>550</v>
      </c>
      <c r="G23" s="126">
        <f t="shared" si="10"/>
        <v>550</v>
      </c>
      <c r="H23" s="126">
        <f t="shared" si="10"/>
        <v>550</v>
      </c>
      <c r="I23" s="126">
        <f t="shared" si="10"/>
        <v>550</v>
      </c>
      <c r="J23" s="126">
        <f t="shared" si="10"/>
        <v>550</v>
      </c>
      <c r="K23" s="126">
        <f t="shared" si="10"/>
        <v>550</v>
      </c>
      <c r="L23" s="126">
        <f t="shared" si="10"/>
        <v>550</v>
      </c>
      <c r="M23" s="126">
        <f t="shared" si="10"/>
        <v>550</v>
      </c>
      <c r="N23" s="126">
        <f t="shared" si="10"/>
        <v>550</v>
      </c>
      <c r="O23" s="126">
        <f t="shared" si="10"/>
        <v>550</v>
      </c>
      <c r="P23" s="127">
        <f t="shared" si="1"/>
        <v>6600</v>
      </c>
      <c r="Q23" s="128" t="s">
        <v>23</v>
      </c>
      <c r="R23" s="127">
        <f>R24+R25+R26+R27</f>
        <v>6600</v>
      </c>
      <c r="S23" s="128" t="s">
        <v>23</v>
      </c>
      <c r="T23" s="127">
        <f>T24+T25+T26+T27</f>
        <v>6600</v>
      </c>
    </row>
    <row r="24" spans="2:20" ht="15" thickTop="1" x14ac:dyDescent="0.3">
      <c r="B24" s="121" t="s">
        <v>47</v>
      </c>
      <c r="C24" s="122" t="s">
        <v>16</v>
      </c>
      <c r="D24" s="155">
        <v>100</v>
      </c>
      <c r="E24" s="156">
        <v>100</v>
      </c>
      <c r="F24" s="156">
        <v>100</v>
      </c>
      <c r="G24" s="156">
        <v>100</v>
      </c>
      <c r="H24" s="156">
        <v>100</v>
      </c>
      <c r="I24" s="156">
        <v>100</v>
      </c>
      <c r="J24" s="156">
        <v>100</v>
      </c>
      <c r="K24" s="156">
        <v>100</v>
      </c>
      <c r="L24" s="156">
        <v>100</v>
      </c>
      <c r="M24" s="156">
        <v>100</v>
      </c>
      <c r="N24" s="156">
        <v>100</v>
      </c>
      <c r="O24" s="157">
        <v>100</v>
      </c>
      <c r="P24" s="123">
        <f t="shared" si="1"/>
        <v>1200</v>
      </c>
      <c r="Q24" s="166">
        <v>0</v>
      </c>
      <c r="R24" s="123">
        <f t="shared" ref="R24:R27" si="11">ROUND(P24*(1+Q24),2)</f>
        <v>1200</v>
      </c>
      <c r="S24" s="166">
        <v>0</v>
      </c>
      <c r="T24" s="124">
        <f t="shared" ref="T24:T27" si="12">ROUND(R24*(1+S24),2)</f>
        <v>1200</v>
      </c>
    </row>
    <row r="25" spans="2:20" x14ac:dyDescent="0.3">
      <c r="B25" s="121" t="s">
        <v>48</v>
      </c>
      <c r="C25" s="122" t="s">
        <v>16</v>
      </c>
      <c r="D25" s="106">
        <v>400</v>
      </c>
      <c r="E25" s="107">
        <v>400</v>
      </c>
      <c r="F25" s="107">
        <v>400</v>
      </c>
      <c r="G25" s="107">
        <v>400</v>
      </c>
      <c r="H25" s="107">
        <v>400</v>
      </c>
      <c r="I25" s="107">
        <v>400</v>
      </c>
      <c r="J25" s="107">
        <v>400</v>
      </c>
      <c r="K25" s="107">
        <v>400</v>
      </c>
      <c r="L25" s="107">
        <v>400</v>
      </c>
      <c r="M25" s="107">
        <v>400</v>
      </c>
      <c r="N25" s="107">
        <v>400</v>
      </c>
      <c r="O25" s="108">
        <v>400</v>
      </c>
      <c r="P25" s="123">
        <f t="shared" si="1"/>
        <v>4800</v>
      </c>
      <c r="Q25" s="169">
        <v>0</v>
      </c>
      <c r="R25" s="123">
        <f t="shared" si="11"/>
        <v>4800</v>
      </c>
      <c r="S25" s="169">
        <v>0</v>
      </c>
      <c r="T25" s="124">
        <f t="shared" si="12"/>
        <v>4800</v>
      </c>
    </row>
    <row r="26" spans="2:20" ht="15" thickBot="1" x14ac:dyDescent="0.35">
      <c r="B26" s="121" t="s">
        <v>56</v>
      </c>
      <c r="C26" s="122" t="s">
        <v>16</v>
      </c>
      <c r="D26" s="164">
        <v>50</v>
      </c>
      <c r="E26" s="66">
        <v>50</v>
      </c>
      <c r="F26" s="66">
        <v>50</v>
      </c>
      <c r="G26" s="66">
        <v>50</v>
      </c>
      <c r="H26" s="66">
        <v>50</v>
      </c>
      <c r="I26" s="66">
        <v>50</v>
      </c>
      <c r="J26" s="66">
        <v>50</v>
      </c>
      <c r="K26" s="66">
        <v>50</v>
      </c>
      <c r="L26" s="66">
        <v>50</v>
      </c>
      <c r="M26" s="66">
        <v>50</v>
      </c>
      <c r="N26" s="66">
        <v>50</v>
      </c>
      <c r="O26" s="165">
        <v>50</v>
      </c>
      <c r="P26" s="123">
        <f t="shared" si="1"/>
        <v>600</v>
      </c>
      <c r="Q26" s="170">
        <v>0</v>
      </c>
      <c r="R26" s="123">
        <f t="shared" si="11"/>
        <v>600</v>
      </c>
      <c r="S26" s="170">
        <v>0</v>
      </c>
      <c r="T26" s="124">
        <f t="shared" si="12"/>
        <v>600</v>
      </c>
    </row>
    <row r="27" spans="2:20" ht="15.6" thickTop="1" thickBot="1" x14ac:dyDescent="0.35">
      <c r="B27" s="121" t="s">
        <v>49</v>
      </c>
      <c r="C27" s="122" t="s">
        <v>16</v>
      </c>
      <c r="D27" s="222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4"/>
      <c r="P27" s="123">
        <f t="shared" si="1"/>
        <v>0</v>
      </c>
      <c r="Q27" s="221">
        <v>0</v>
      </c>
      <c r="R27" s="123">
        <f t="shared" si="11"/>
        <v>0</v>
      </c>
      <c r="S27" s="221">
        <v>0</v>
      </c>
      <c r="T27" s="124">
        <f t="shared" si="12"/>
        <v>0</v>
      </c>
    </row>
    <row r="28" spans="2:20" ht="15" thickTop="1" x14ac:dyDescent="0.3">
      <c r="B28" s="121" t="s">
        <v>50</v>
      </c>
      <c r="C28" s="125" t="s">
        <v>16</v>
      </c>
      <c r="D28" s="129">
        <f>I81</f>
        <v>0</v>
      </c>
      <c r="E28" s="129">
        <f t="shared" ref="E28:O28" si="13">J81</f>
        <v>833</v>
      </c>
      <c r="F28" s="129">
        <f t="shared" si="13"/>
        <v>833</v>
      </c>
      <c r="G28" s="129">
        <f t="shared" si="13"/>
        <v>833</v>
      </c>
      <c r="H28" s="129">
        <f t="shared" si="13"/>
        <v>833</v>
      </c>
      <c r="I28" s="129">
        <f t="shared" si="13"/>
        <v>833</v>
      </c>
      <c r="J28" s="129">
        <f t="shared" si="13"/>
        <v>833</v>
      </c>
      <c r="K28" s="129">
        <f t="shared" si="13"/>
        <v>833</v>
      </c>
      <c r="L28" s="129">
        <f t="shared" si="13"/>
        <v>833</v>
      </c>
      <c r="M28" s="129">
        <f t="shared" si="13"/>
        <v>833</v>
      </c>
      <c r="N28" s="129">
        <f t="shared" si="13"/>
        <v>833</v>
      </c>
      <c r="O28" s="129">
        <f t="shared" si="13"/>
        <v>833</v>
      </c>
      <c r="P28" s="127">
        <f t="shared" si="1"/>
        <v>9163</v>
      </c>
      <c r="Q28" s="130" t="s">
        <v>23</v>
      </c>
      <c r="R28" s="127">
        <f>P28</f>
        <v>9163</v>
      </c>
      <c r="S28" s="130" t="s">
        <v>23</v>
      </c>
      <c r="T28" s="127">
        <f>R28</f>
        <v>9163</v>
      </c>
    </row>
    <row r="29" spans="2:20" ht="15" thickBot="1" x14ac:dyDescent="0.35">
      <c r="B29" s="135" t="s">
        <v>51</v>
      </c>
      <c r="C29" s="125" t="s">
        <v>16</v>
      </c>
      <c r="D29" s="133">
        <f>D30+D31+D32+D33</f>
        <v>339.37</v>
      </c>
      <c r="E29" s="133">
        <f t="shared" ref="E29:O29" si="14">E30+E31+E32+E33</f>
        <v>381.02</v>
      </c>
      <c r="F29" s="133">
        <f t="shared" si="14"/>
        <v>381.02</v>
      </c>
      <c r="G29" s="133">
        <f t="shared" si="14"/>
        <v>537.89</v>
      </c>
      <c r="H29" s="133">
        <f t="shared" si="14"/>
        <v>537.89</v>
      </c>
      <c r="I29" s="133">
        <f t="shared" si="14"/>
        <v>537.89</v>
      </c>
      <c r="J29" s="133">
        <f t="shared" si="14"/>
        <v>537.89</v>
      </c>
      <c r="K29" s="133">
        <f t="shared" si="14"/>
        <v>537.89</v>
      </c>
      <c r="L29" s="133">
        <f t="shared" si="14"/>
        <v>537.89</v>
      </c>
      <c r="M29" s="133">
        <f t="shared" si="14"/>
        <v>537.89</v>
      </c>
      <c r="N29" s="133">
        <f t="shared" si="14"/>
        <v>537.89</v>
      </c>
      <c r="O29" s="133">
        <f t="shared" si="14"/>
        <v>537.89</v>
      </c>
      <c r="P29" s="127">
        <f t="shared" si="1"/>
        <v>5942.42</v>
      </c>
      <c r="Q29" s="134" t="s">
        <v>23</v>
      </c>
      <c r="R29" s="127">
        <f t="shared" ref="R29:T29" si="15">R30+R31+R32+R33</f>
        <v>6413.03</v>
      </c>
      <c r="S29" s="134" t="s">
        <v>23</v>
      </c>
      <c r="T29" s="127">
        <f t="shared" si="15"/>
        <v>6413.03</v>
      </c>
    </row>
    <row r="30" spans="2:20" ht="15" thickTop="1" x14ac:dyDescent="0.3">
      <c r="B30" s="171" t="s">
        <v>276</v>
      </c>
      <c r="C30" s="136" t="s">
        <v>16</v>
      </c>
      <c r="D30" s="155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7"/>
      <c r="P30" s="123">
        <f t="shared" si="1"/>
        <v>0</v>
      </c>
      <c r="Q30" s="166">
        <v>0</v>
      </c>
      <c r="R30" s="123">
        <f t="shared" ref="R30:R32" si="16">ROUND(P30*(1+Q30),2)</f>
        <v>0</v>
      </c>
      <c r="S30" s="166">
        <v>0</v>
      </c>
      <c r="T30" s="124">
        <f t="shared" ref="T30:T32" si="17">ROUND(R30*(1+S30),2)</f>
        <v>0</v>
      </c>
    </row>
    <row r="31" spans="2:20" x14ac:dyDescent="0.3">
      <c r="B31" s="172" t="s">
        <v>52</v>
      </c>
      <c r="C31" s="136" t="s">
        <v>16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123">
        <f t="shared" si="1"/>
        <v>0</v>
      </c>
      <c r="Q31" s="169">
        <v>0</v>
      </c>
      <c r="R31" s="123">
        <f t="shared" si="16"/>
        <v>0</v>
      </c>
      <c r="S31" s="169">
        <v>0</v>
      </c>
      <c r="T31" s="124">
        <f t="shared" si="17"/>
        <v>0</v>
      </c>
    </row>
    <row r="32" spans="2:20" ht="15" thickBot="1" x14ac:dyDescent="0.35">
      <c r="B32" s="173" t="s">
        <v>52</v>
      </c>
      <c r="C32" s="136" t="s">
        <v>16</v>
      </c>
      <c r="D32" s="164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165"/>
      <c r="P32" s="123">
        <f t="shared" si="1"/>
        <v>0</v>
      </c>
      <c r="Q32" s="170">
        <v>0</v>
      </c>
      <c r="R32" s="123">
        <f t="shared" si="16"/>
        <v>0</v>
      </c>
      <c r="S32" s="170">
        <v>0</v>
      </c>
      <c r="T32" s="124">
        <f t="shared" si="17"/>
        <v>0</v>
      </c>
    </row>
    <row r="33" spans="2:24" ht="15" thickTop="1" x14ac:dyDescent="0.3">
      <c r="B33" s="137" t="s">
        <v>53</v>
      </c>
      <c r="C33" s="125" t="s">
        <v>16</v>
      </c>
      <c r="D33" s="129">
        <f t="shared" ref="D33:O33" si="18">ROUND(SUM(D14:D16,D19,D22:D23,D28,D30:D32)*$X$33,2)</f>
        <v>339.37</v>
      </c>
      <c r="E33" s="129">
        <f t="shared" si="18"/>
        <v>381.02</v>
      </c>
      <c r="F33" s="129">
        <f t="shared" si="18"/>
        <v>381.02</v>
      </c>
      <c r="G33" s="129">
        <f t="shared" si="18"/>
        <v>537.89</v>
      </c>
      <c r="H33" s="129">
        <f t="shared" si="18"/>
        <v>537.89</v>
      </c>
      <c r="I33" s="129">
        <f t="shared" si="18"/>
        <v>537.89</v>
      </c>
      <c r="J33" s="129">
        <f t="shared" si="18"/>
        <v>537.89</v>
      </c>
      <c r="K33" s="129">
        <f t="shared" si="18"/>
        <v>537.89</v>
      </c>
      <c r="L33" s="129">
        <f t="shared" si="18"/>
        <v>537.89</v>
      </c>
      <c r="M33" s="129">
        <f t="shared" si="18"/>
        <v>537.89</v>
      </c>
      <c r="N33" s="129">
        <f t="shared" si="18"/>
        <v>537.89</v>
      </c>
      <c r="O33" s="129">
        <f t="shared" si="18"/>
        <v>537.89</v>
      </c>
      <c r="P33" s="127">
        <f t="shared" si="1"/>
        <v>5942.42</v>
      </c>
      <c r="Q33" s="130" t="s">
        <v>23</v>
      </c>
      <c r="R33" s="127">
        <f>ROUND(SUM(R14:R16,R19,R22:R23,R28,R30:R32)*$X$33,2)</f>
        <v>6413.03</v>
      </c>
      <c r="S33" s="130" t="s">
        <v>23</v>
      </c>
      <c r="T33" s="127">
        <f>ROUND(SUM(T14:T16,T19,T22:T23,T28,T30:T32)*$X$33,2)</f>
        <v>6413.03</v>
      </c>
      <c r="X33" s="138">
        <v>0.05</v>
      </c>
    </row>
    <row r="34" spans="2:24" ht="15" thickBot="1" x14ac:dyDescent="0.35">
      <c r="B34" s="139" t="s">
        <v>55</v>
      </c>
      <c r="C34" s="120" t="s">
        <v>16</v>
      </c>
      <c r="D34" s="140">
        <f t="shared" ref="D34:P34" si="19">SUM(D14:D16,D19,D22:D23,D28:D29)</f>
        <v>7126.7699999999995</v>
      </c>
      <c r="E34" s="140">
        <f t="shared" si="19"/>
        <v>8001.42</v>
      </c>
      <c r="F34" s="140">
        <f t="shared" si="19"/>
        <v>8001.42</v>
      </c>
      <c r="G34" s="140">
        <f t="shared" si="19"/>
        <v>11295.689999999999</v>
      </c>
      <c r="H34" s="140">
        <f t="shared" si="19"/>
        <v>11295.689999999999</v>
      </c>
      <c r="I34" s="140">
        <f t="shared" si="19"/>
        <v>11295.689999999999</v>
      </c>
      <c r="J34" s="140">
        <f t="shared" si="19"/>
        <v>11295.689999999999</v>
      </c>
      <c r="K34" s="140">
        <f t="shared" si="19"/>
        <v>11295.689999999999</v>
      </c>
      <c r="L34" s="140">
        <f t="shared" si="19"/>
        <v>11295.689999999999</v>
      </c>
      <c r="M34" s="140">
        <f t="shared" si="19"/>
        <v>11295.689999999999</v>
      </c>
      <c r="N34" s="140">
        <f t="shared" si="19"/>
        <v>11295.689999999999</v>
      </c>
      <c r="O34" s="140">
        <f t="shared" si="19"/>
        <v>11295.689999999999</v>
      </c>
      <c r="P34" s="141">
        <f t="shared" si="19"/>
        <v>124790.82</v>
      </c>
      <c r="Q34" s="142" t="s">
        <v>23</v>
      </c>
      <c r="R34" s="140">
        <f>SUM(R14:R16,R19,R22:R23,R28:R29)</f>
        <v>134673.63</v>
      </c>
      <c r="S34" s="142" t="s">
        <v>23</v>
      </c>
      <c r="T34" s="140">
        <f>SUM(T14:T16,T19,T22:T23,T28:T29)</f>
        <v>134673.63</v>
      </c>
    </row>
    <row r="35" spans="2:24" ht="15.6" thickTop="1" thickBot="1" x14ac:dyDescent="0.35">
      <c r="B35" s="143" t="s">
        <v>57</v>
      </c>
      <c r="C35" s="122" t="s">
        <v>16</v>
      </c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3"/>
      <c r="P35" s="124">
        <f>SUM(D35:O35)</f>
        <v>0</v>
      </c>
      <c r="Q35" s="144" t="s">
        <v>23</v>
      </c>
      <c r="R35" s="174"/>
      <c r="S35" s="145" t="s">
        <v>23</v>
      </c>
      <c r="T35" s="174"/>
    </row>
    <row r="36" spans="2:24" ht="15" thickTop="1" x14ac:dyDescent="0.3">
      <c r="B36" s="139" t="s">
        <v>54</v>
      </c>
      <c r="C36" s="120" t="s">
        <v>16</v>
      </c>
      <c r="D36" s="146">
        <f>SUM(D34:D35)</f>
        <v>7126.7699999999995</v>
      </c>
      <c r="E36" s="146">
        <f t="shared" ref="E36:T36" si="20">SUM(E34:E35)</f>
        <v>8001.42</v>
      </c>
      <c r="F36" s="146">
        <f t="shared" si="20"/>
        <v>8001.42</v>
      </c>
      <c r="G36" s="146">
        <f t="shared" si="20"/>
        <v>11295.689999999999</v>
      </c>
      <c r="H36" s="146">
        <f t="shared" si="20"/>
        <v>11295.689999999999</v>
      </c>
      <c r="I36" s="146">
        <f t="shared" si="20"/>
        <v>11295.689999999999</v>
      </c>
      <c r="J36" s="146">
        <f t="shared" si="20"/>
        <v>11295.689999999999</v>
      </c>
      <c r="K36" s="146">
        <f t="shared" si="20"/>
        <v>11295.689999999999</v>
      </c>
      <c r="L36" s="146">
        <f t="shared" si="20"/>
        <v>11295.689999999999</v>
      </c>
      <c r="M36" s="146">
        <f t="shared" si="20"/>
        <v>11295.689999999999</v>
      </c>
      <c r="N36" s="146">
        <f t="shared" si="20"/>
        <v>11295.689999999999</v>
      </c>
      <c r="O36" s="146">
        <f t="shared" si="20"/>
        <v>11295.689999999999</v>
      </c>
      <c r="P36" s="141">
        <f t="shared" si="20"/>
        <v>124790.82</v>
      </c>
      <c r="Q36" s="142" t="s">
        <v>23</v>
      </c>
      <c r="R36" s="146">
        <f t="shared" si="20"/>
        <v>134673.63</v>
      </c>
      <c r="S36" s="142" t="s">
        <v>23</v>
      </c>
      <c r="T36" s="146">
        <f t="shared" si="20"/>
        <v>134673.63</v>
      </c>
    </row>
    <row r="37" spans="2:24" ht="15" thickBot="1" x14ac:dyDescent="0.35"/>
    <row r="38" spans="2:24" ht="15.6" thickTop="1" thickBot="1" x14ac:dyDescent="0.35">
      <c r="P38" s="288" t="s">
        <v>35</v>
      </c>
      <c r="Q38" s="288"/>
      <c r="R38" s="289"/>
      <c r="S38" s="175">
        <v>0</v>
      </c>
      <c r="T38" s="176">
        <v>0</v>
      </c>
    </row>
    <row r="39" spans="2:24" ht="15" thickTop="1" x14ac:dyDescent="0.3">
      <c r="B39" s="281" t="s">
        <v>24</v>
      </c>
      <c r="C39" s="290" t="s">
        <v>25</v>
      </c>
      <c r="D39" s="290" t="s">
        <v>278</v>
      </c>
      <c r="E39" s="290" t="s">
        <v>26</v>
      </c>
      <c r="F39" s="279" t="s">
        <v>10</v>
      </c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81" t="s">
        <v>11</v>
      </c>
      <c r="S39" s="287" t="s">
        <v>12</v>
      </c>
      <c r="T39" s="287" t="s">
        <v>13</v>
      </c>
    </row>
    <row r="40" spans="2:24" x14ac:dyDescent="0.3">
      <c r="B40" s="281"/>
      <c r="C40" s="290"/>
      <c r="D40" s="290"/>
      <c r="E40" s="290"/>
      <c r="F40" s="120" t="str">
        <f t="shared" ref="F40:Q40" si="21">D12</f>
        <v>Luna I.</v>
      </c>
      <c r="G40" s="120" t="str">
        <f t="shared" si="21"/>
        <v>Luna II.</v>
      </c>
      <c r="H40" s="120" t="str">
        <f t="shared" si="21"/>
        <v>Luna III.</v>
      </c>
      <c r="I40" s="120" t="str">
        <f t="shared" si="21"/>
        <v>Luna IV.</v>
      </c>
      <c r="J40" s="120" t="str">
        <f t="shared" si="21"/>
        <v>Luna V.</v>
      </c>
      <c r="K40" s="120" t="str">
        <f t="shared" si="21"/>
        <v>Luna VI.</v>
      </c>
      <c r="L40" s="120" t="str">
        <f t="shared" si="21"/>
        <v>Luna VII.</v>
      </c>
      <c r="M40" s="120" t="str">
        <f t="shared" si="21"/>
        <v>Luna VIII.</v>
      </c>
      <c r="N40" s="120" t="str">
        <f t="shared" si="21"/>
        <v>Luna IX.</v>
      </c>
      <c r="O40" s="120" t="str">
        <f t="shared" si="21"/>
        <v>Luna X.</v>
      </c>
      <c r="P40" s="120" t="str">
        <f t="shared" si="21"/>
        <v>Luna XI.</v>
      </c>
      <c r="Q40" s="120" t="str">
        <f t="shared" si="21"/>
        <v>Luna XII.</v>
      </c>
      <c r="R40" s="281"/>
      <c r="S40" s="281"/>
      <c r="T40" s="281"/>
    </row>
    <row r="41" spans="2:24" ht="15" thickBot="1" x14ac:dyDescent="0.35">
      <c r="B41" s="279" t="s">
        <v>32</v>
      </c>
      <c r="C41" s="279"/>
      <c r="D41" s="279"/>
      <c r="E41" s="279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79"/>
      <c r="S41" s="279"/>
      <c r="T41" s="279"/>
    </row>
    <row r="42" spans="2:24" ht="15" thickBot="1" x14ac:dyDescent="0.35">
      <c r="B42" s="225"/>
      <c r="C42" s="277"/>
      <c r="D42" s="278"/>
      <c r="E42" s="278"/>
      <c r="F42" s="227">
        <v>0.5</v>
      </c>
      <c r="G42" s="228">
        <v>0.5</v>
      </c>
      <c r="H42" s="228">
        <v>0.5</v>
      </c>
      <c r="I42" s="228">
        <v>1</v>
      </c>
      <c r="J42" s="228">
        <v>1</v>
      </c>
      <c r="K42" s="228">
        <v>1</v>
      </c>
      <c r="L42" s="228">
        <v>1</v>
      </c>
      <c r="M42" s="228">
        <v>1</v>
      </c>
      <c r="N42" s="228">
        <v>1</v>
      </c>
      <c r="O42" s="228">
        <v>1</v>
      </c>
      <c r="P42" s="228">
        <v>1</v>
      </c>
      <c r="Q42" s="229">
        <v>1</v>
      </c>
      <c r="R42" s="226"/>
      <c r="S42" s="152"/>
      <c r="T42" s="152"/>
    </row>
    <row r="43" spans="2:24" ht="15" thickTop="1" x14ac:dyDescent="0.3">
      <c r="B43" s="291" t="s">
        <v>27</v>
      </c>
      <c r="C43" s="293">
        <v>1800</v>
      </c>
      <c r="D43" s="295">
        <v>2</v>
      </c>
      <c r="E43" s="147" t="s">
        <v>33</v>
      </c>
      <c r="F43" s="129">
        <f>$C43*$D43*F$42</f>
        <v>1800</v>
      </c>
      <c r="G43" s="129">
        <f t="shared" ref="G43:P51" si="22">$C43*$D43*G$42</f>
        <v>1800</v>
      </c>
      <c r="H43" s="129">
        <f t="shared" si="22"/>
        <v>1800</v>
      </c>
      <c r="I43" s="129">
        <f t="shared" si="22"/>
        <v>3600</v>
      </c>
      <c r="J43" s="129">
        <f t="shared" si="22"/>
        <v>3600</v>
      </c>
      <c r="K43" s="129">
        <f t="shared" si="22"/>
        <v>3600</v>
      </c>
      <c r="L43" s="129">
        <f t="shared" si="22"/>
        <v>3600</v>
      </c>
      <c r="M43" s="129">
        <f t="shared" si="22"/>
        <v>3600</v>
      </c>
      <c r="N43" s="129">
        <f t="shared" si="22"/>
        <v>3600</v>
      </c>
      <c r="O43" s="129">
        <f t="shared" si="22"/>
        <v>3600</v>
      </c>
      <c r="P43" s="129">
        <f t="shared" si="22"/>
        <v>3600</v>
      </c>
      <c r="Q43" s="129">
        <f>$C43*$D43*Q$42</f>
        <v>3600</v>
      </c>
      <c r="R43" s="127">
        <f>SUM(F43:Q43)</f>
        <v>37800</v>
      </c>
      <c r="S43" s="127">
        <f>ROUND(Q43*12*(1+S$38),2)</f>
        <v>43200</v>
      </c>
      <c r="T43" s="127">
        <f>ROUND(S43*(1+T$38),2)</f>
        <v>43200</v>
      </c>
    </row>
    <row r="44" spans="2:24" x14ac:dyDescent="0.3">
      <c r="B44" s="292"/>
      <c r="C44" s="294"/>
      <c r="D44" s="280"/>
      <c r="E44" s="147" t="s">
        <v>34</v>
      </c>
      <c r="F44" s="131">
        <f>ROUND(F43*1.743,2)</f>
        <v>3137.4</v>
      </c>
      <c r="G44" s="131">
        <f t="shared" ref="G44:Q44" si="23">ROUND(G43*1.743,2)</f>
        <v>3137.4</v>
      </c>
      <c r="H44" s="131">
        <f t="shared" si="23"/>
        <v>3137.4</v>
      </c>
      <c r="I44" s="131">
        <f t="shared" si="23"/>
        <v>6274.8</v>
      </c>
      <c r="J44" s="131">
        <f t="shared" si="23"/>
        <v>6274.8</v>
      </c>
      <c r="K44" s="131">
        <f t="shared" si="23"/>
        <v>6274.8</v>
      </c>
      <c r="L44" s="131">
        <f t="shared" si="23"/>
        <v>6274.8</v>
      </c>
      <c r="M44" s="131">
        <f t="shared" si="23"/>
        <v>6274.8</v>
      </c>
      <c r="N44" s="131">
        <f t="shared" si="23"/>
        <v>6274.8</v>
      </c>
      <c r="O44" s="131">
        <f t="shared" si="23"/>
        <v>6274.8</v>
      </c>
      <c r="P44" s="131">
        <f t="shared" si="23"/>
        <v>6274.8</v>
      </c>
      <c r="Q44" s="131">
        <f t="shared" si="23"/>
        <v>6274.8</v>
      </c>
      <c r="R44" s="127">
        <f t="shared" ref="R44:R51" si="24">SUM(F44:Q44)</f>
        <v>65885.400000000009</v>
      </c>
      <c r="S44" s="127">
        <f>ROUND(S43*1.743,2)</f>
        <v>75297.600000000006</v>
      </c>
      <c r="T44" s="127">
        <f t="shared" ref="T44" si="25">ROUND(T43*1.743,2)</f>
        <v>75297.600000000006</v>
      </c>
    </row>
    <row r="45" spans="2:24" x14ac:dyDescent="0.3">
      <c r="B45" s="292" t="s">
        <v>28</v>
      </c>
      <c r="C45" s="294"/>
      <c r="D45" s="280"/>
      <c r="E45" s="147" t="s">
        <v>33</v>
      </c>
      <c r="F45" s="131">
        <f>$C45*$D45*F$42</f>
        <v>0</v>
      </c>
      <c r="G45" s="131">
        <f t="shared" si="22"/>
        <v>0</v>
      </c>
      <c r="H45" s="131">
        <f t="shared" si="22"/>
        <v>0</v>
      </c>
      <c r="I45" s="131">
        <f t="shared" si="22"/>
        <v>0</v>
      </c>
      <c r="J45" s="131">
        <f t="shared" si="22"/>
        <v>0</v>
      </c>
      <c r="K45" s="131">
        <f t="shared" si="22"/>
        <v>0</v>
      </c>
      <c r="L45" s="131">
        <f t="shared" si="22"/>
        <v>0</v>
      </c>
      <c r="M45" s="131">
        <f t="shared" si="22"/>
        <v>0</v>
      </c>
      <c r="N45" s="131">
        <f t="shared" si="22"/>
        <v>0</v>
      </c>
      <c r="O45" s="131">
        <f t="shared" si="22"/>
        <v>0</v>
      </c>
      <c r="P45" s="131">
        <f t="shared" si="22"/>
        <v>0</v>
      </c>
      <c r="Q45" s="131">
        <f>$C45*$D45*Q$42</f>
        <v>0</v>
      </c>
      <c r="R45" s="127">
        <f t="shared" si="24"/>
        <v>0</v>
      </c>
      <c r="S45" s="127">
        <f>ROUND(Q45*12*(1+S$38),2)</f>
        <v>0</v>
      </c>
      <c r="T45" s="127">
        <f>ROUND(S45*(1+T$38),2)</f>
        <v>0</v>
      </c>
    </row>
    <row r="46" spans="2:24" x14ac:dyDescent="0.3">
      <c r="B46" s="292"/>
      <c r="C46" s="294"/>
      <c r="D46" s="280"/>
      <c r="E46" s="147" t="s">
        <v>34</v>
      </c>
      <c r="F46" s="131">
        <f>ROUND(F45*1.743,2)</f>
        <v>0</v>
      </c>
      <c r="G46" s="131">
        <f t="shared" ref="G46:Q46" si="26">ROUND(G45*1.743,2)</f>
        <v>0</v>
      </c>
      <c r="H46" s="131">
        <f t="shared" si="26"/>
        <v>0</v>
      </c>
      <c r="I46" s="131">
        <f t="shared" si="26"/>
        <v>0</v>
      </c>
      <c r="J46" s="131">
        <f t="shared" si="26"/>
        <v>0</v>
      </c>
      <c r="K46" s="131">
        <f t="shared" si="26"/>
        <v>0</v>
      </c>
      <c r="L46" s="131">
        <f t="shared" si="26"/>
        <v>0</v>
      </c>
      <c r="M46" s="131">
        <f t="shared" si="26"/>
        <v>0</v>
      </c>
      <c r="N46" s="131">
        <f t="shared" si="26"/>
        <v>0</v>
      </c>
      <c r="O46" s="131">
        <f t="shared" si="26"/>
        <v>0</v>
      </c>
      <c r="P46" s="131">
        <f t="shared" si="26"/>
        <v>0</v>
      </c>
      <c r="Q46" s="131">
        <f t="shared" si="26"/>
        <v>0</v>
      </c>
      <c r="R46" s="127">
        <f t="shared" si="24"/>
        <v>0</v>
      </c>
      <c r="S46" s="127">
        <f t="shared" ref="S46:T46" si="27">ROUND(S45*1.743,2)</f>
        <v>0</v>
      </c>
      <c r="T46" s="127">
        <f t="shared" si="27"/>
        <v>0</v>
      </c>
    </row>
    <row r="47" spans="2:24" x14ac:dyDescent="0.3">
      <c r="B47" s="292" t="s">
        <v>29</v>
      </c>
      <c r="C47" s="294"/>
      <c r="D47" s="280"/>
      <c r="E47" s="147" t="s">
        <v>33</v>
      </c>
      <c r="F47" s="131">
        <f>$C47*$D47*F$42</f>
        <v>0</v>
      </c>
      <c r="G47" s="131">
        <f t="shared" si="22"/>
        <v>0</v>
      </c>
      <c r="H47" s="131">
        <f>$C47*$D47*H$42</f>
        <v>0</v>
      </c>
      <c r="I47" s="131">
        <f t="shared" si="22"/>
        <v>0</v>
      </c>
      <c r="J47" s="131">
        <f t="shared" si="22"/>
        <v>0</v>
      </c>
      <c r="K47" s="131">
        <f t="shared" si="22"/>
        <v>0</v>
      </c>
      <c r="L47" s="131">
        <f t="shared" si="22"/>
        <v>0</v>
      </c>
      <c r="M47" s="131">
        <f t="shared" si="22"/>
        <v>0</v>
      </c>
      <c r="N47" s="131">
        <f t="shared" si="22"/>
        <v>0</v>
      </c>
      <c r="O47" s="131">
        <f t="shared" si="22"/>
        <v>0</v>
      </c>
      <c r="P47" s="131">
        <f t="shared" si="22"/>
        <v>0</v>
      </c>
      <c r="Q47" s="131">
        <f>$C47*$D47*Q$42</f>
        <v>0</v>
      </c>
      <c r="R47" s="127">
        <f t="shared" si="24"/>
        <v>0</v>
      </c>
      <c r="S47" s="127">
        <f>ROUND(Q47*12*(1+S$38),2)</f>
        <v>0</v>
      </c>
      <c r="T47" s="127">
        <f>ROUND(S47*(1+T$38),2)</f>
        <v>0</v>
      </c>
    </row>
    <row r="48" spans="2:24" x14ac:dyDescent="0.3">
      <c r="B48" s="292"/>
      <c r="C48" s="294"/>
      <c r="D48" s="280"/>
      <c r="E48" s="147" t="s">
        <v>34</v>
      </c>
      <c r="F48" s="131">
        <f>ROUND(F47*1.743,2)</f>
        <v>0</v>
      </c>
      <c r="G48" s="131">
        <f t="shared" ref="G48:P48" si="28">ROUND(G47*1.743,2)</f>
        <v>0</v>
      </c>
      <c r="H48" s="131">
        <f t="shared" si="28"/>
        <v>0</v>
      </c>
      <c r="I48" s="131">
        <f t="shared" si="28"/>
        <v>0</v>
      </c>
      <c r="J48" s="131">
        <f t="shared" si="28"/>
        <v>0</v>
      </c>
      <c r="K48" s="131">
        <f t="shared" si="28"/>
        <v>0</v>
      </c>
      <c r="L48" s="131">
        <f t="shared" si="28"/>
        <v>0</v>
      </c>
      <c r="M48" s="131">
        <f t="shared" si="28"/>
        <v>0</v>
      </c>
      <c r="N48" s="131">
        <f t="shared" si="28"/>
        <v>0</v>
      </c>
      <c r="O48" s="131">
        <f t="shared" si="28"/>
        <v>0</v>
      </c>
      <c r="P48" s="131">
        <f t="shared" si="28"/>
        <v>0</v>
      </c>
      <c r="Q48" s="131">
        <f>ROUND(Q47*1.743,2)</f>
        <v>0</v>
      </c>
      <c r="R48" s="127">
        <f t="shared" si="24"/>
        <v>0</v>
      </c>
      <c r="S48" s="127">
        <f t="shared" ref="S48:T48" si="29">ROUND(S47*1.743,2)</f>
        <v>0</v>
      </c>
      <c r="T48" s="127">
        <f t="shared" si="29"/>
        <v>0</v>
      </c>
    </row>
    <row r="49" spans="2:23" x14ac:dyDescent="0.3">
      <c r="B49" s="292" t="s">
        <v>30</v>
      </c>
      <c r="C49" s="294"/>
      <c r="D49" s="280"/>
      <c r="E49" s="147" t="s">
        <v>33</v>
      </c>
      <c r="F49" s="131">
        <f>$C49*$D49*F$42</f>
        <v>0</v>
      </c>
      <c r="G49" s="131">
        <f t="shared" si="22"/>
        <v>0</v>
      </c>
      <c r="H49" s="131">
        <f t="shared" si="22"/>
        <v>0</v>
      </c>
      <c r="I49" s="131">
        <f t="shared" si="22"/>
        <v>0</v>
      </c>
      <c r="J49" s="131">
        <f t="shared" si="22"/>
        <v>0</v>
      </c>
      <c r="K49" s="131">
        <f t="shared" si="22"/>
        <v>0</v>
      </c>
      <c r="L49" s="131">
        <f t="shared" si="22"/>
        <v>0</v>
      </c>
      <c r="M49" s="131">
        <f t="shared" si="22"/>
        <v>0</v>
      </c>
      <c r="N49" s="131">
        <f t="shared" si="22"/>
        <v>0</v>
      </c>
      <c r="O49" s="131">
        <f t="shared" si="22"/>
        <v>0</v>
      </c>
      <c r="P49" s="131">
        <f t="shared" si="22"/>
        <v>0</v>
      </c>
      <c r="Q49" s="131">
        <f>$C49*$D49*Q$42</f>
        <v>0</v>
      </c>
      <c r="R49" s="127">
        <f t="shared" si="24"/>
        <v>0</v>
      </c>
      <c r="S49" s="127">
        <f>ROUND(Q49*12*(1+S$38),2)</f>
        <v>0</v>
      </c>
      <c r="T49" s="127">
        <f>ROUND(S49*(1+T$38),2)</f>
        <v>0</v>
      </c>
    </row>
    <row r="50" spans="2:23" x14ac:dyDescent="0.3">
      <c r="B50" s="292"/>
      <c r="C50" s="294"/>
      <c r="D50" s="280"/>
      <c r="E50" s="147" t="s">
        <v>34</v>
      </c>
      <c r="F50" s="131">
        <f>ROUND(F49*1.743,2)</f>
        <v>0</v>
      </c>
      <c r="G50" s="131">
        <f t="shared" ref="G50:Q50" si="30">ROUND(G49*1.743,2)</f>
        <v>0</v>
      </c>
      <c r="H50" s="131">
        <f t="shared" si="30"/>
        <v>0</v>
      </c>
      <c r="I50" s="131">
        <f t="shared" si="30"/>
        <v>0</v>
      </c>
      <c r="J50" s="131">
        <f t="shared" si="30"/>
        <v>0</v>
      </c>
      <c r="K50" s="131">
        <f t="shared" si="30"/>
        <v>0</v>
      </c>
      <c r="L50" s="131">
        <f t="shared" si="30"/>
        <v>0</v>
      </c>
      <c r="M50" s="131">
        <f t="shared" si="30"/>
        <v>0</v>
      </c>
      <c r="N50" s="131">
        <f t="shared" si="30"/>
        <v>0</v>
      </c>
      <c r="O50" s="131">
        <f t="shared" si="30"/>
        <v>0</v>
      </c>
      <c r="P50" s="131">
        <f t="shared" si="30"/>
        <v>0</v>
      </c>
      <c r="Q50" s="131">
        <f t="shared" si="30"/>
        <v>0</v>
      </c>
      <c r="R50" s="127">
        <f t="shared" si="24"/>
        <v>0</v>
      </c>
      <c r="S50" s="127">
        <f t="shared" ref="S50:T50" si="31">ROUND(S49*1.743,2)</f>
        <v>0</v>
      </c>
      <c r="T50" s="127">
        <f t="shared" si="31"/>
        <v>0</v>
      </c>
    </row>
    <row r="51" spans="2:23" x14ac:dyDescent="0.3">
      <c r="B51" s="292" t="s">
        <v>31</v>
      </c>
      <c r="C51" s="294"/>
      <c r="D51" s="280"/>
      <c r="E51" s="147" t="s">
        <v>33</v>
      </c>
      <c r="F51" s="131">
        <f>$C51*$D51*F$42</f>
        <v>0</v>
      </c>
      <c r="G51" s="131">
        <f t="shared" si="22"/>
        <v>0</v>
      </c>
      <c r="H51" s="131">
        <f t="shared" si="22"/>
        <v>0</v>
      </c>
      <c r="I51" s="131">
        <f t="shared" si="22"/>
        <v>0</v>
      </c>
      <c r="J51" s="131">
        <f t="shared" si="22"/>
        <v>0</v>
      </c>
      <c r="K51" s="131">
        <f t="shared" si="22"/>
        <v>0</v>
      </c>
      <c r="L51" s="131">
        <f t="shared" si="22"/>
        <v>0</v>
      </c>
      <c r="M51" s="131">
        <f t="shared" si="22"/>
        <v>0</v>
      </c>
      <c r="N51" s="131">
        <f t="shared" si="22"/>
        <v>0</v>
      </c>
      <c r="O51" s="131">
        <f t="shared" si="22"/>
        <v>0</v>
      </c>
      <c r="P51" s="131">
        <f t="shared" si="22"/>
        <v>0</v>
      </c>
      <c r="Q51" s="131">
        <f>$C51*$D51*Q$42</f>
        <v>0</v>
      </c>
      <c r="R51" s="127">
        <f t="shared" si="24"/>
        <v>0</v>
      </c>
      <c r="S51" s="127">
        <f>ROUND(Q51*12*(1+S$38),2)</f>
        <v>0</v>
      </c>
      <c r="T51" s="127">
        <f>ROUND(S51*(1+T$38),2)</f>
        <v>0</v>
      </c>
    </row>
    <row r="52" spans="2:23" ht="15" thickBot="1" x14ac:dyDescent="0.35">
      <c r="B52" s="296"/>
      <c r="C52" s="297"/>
      <c r="D52" s="298"/>
      <c r="E52" s="147" t="s">
        <v>34</v>
      </c>
      <c r="F52" s="131">
        <f>ROUND(F51*1.743,2)</f>
        <v>0</v>
      </c>
      <c r="G52" s="131">
        <f t="shared" ref="G52:Q52" si="32">ROUND(G51*1.743,2)</f>
        <v>0</v>
      </c>
      <c r="H52" s="131">
        <f t="shared" si="32"/>
        <v>0</v>
      </c>
      <c r="I52" s="131">
        <f t="shared" si="32"/>
        <v>0</v>
      </c>
      <c r="J52" s="131">
        <f t="shared" si="32"/>
        <v>0</v>
      </c>
      <c r="K52" s="131">
        <f t="shared" si="32"/>
        <v>0</v>
      </c>
      <c r="L52" s="131">
        <f t="shared" si="32"/>
        <v>0</v>
      </c>
      <c r="M52" s="131">
        <f t="shared" si="32"/>
        <v>0</v>
      </c>
      <c r="N52" s="131">
        <f t="shared" si="32"/>
        <v>0</v>
      </c>
      <c r="O52" s="131">
        <f t="shared" si="32"/>
        <v>0</v>
      </c>
      <c r="P52" s="131">
        <f t="shared" si="32"/>
        <v>0</v>
      </c>
      <c r="Q52" s="131">
        <f t="shared" si="32"/>
        <v>0</v>
      </c>
      <c r="R52" s="127">
        <f>SUM(F52:Q52)</f>
        <v>0</v>
      </c>
      <c r="S52" s="127">
        <f t="shared" ref="S52:T52" si="33">ROUND(S51*1.743,2)</f>
        <v>0</v>
      </c>
      <c r="T52" s="127">
        <f t="shared" si="33"/>
        <v>0</v>
      </c>
    </row>
    <row r="53" spans="2:23" ht="15" thickTop="1" x14ac:dyDescent="0.3">
      <c r="B53" s="299"/>
      <c r="C53" s="299"/>
      <c r="D53" s="299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</row>
    <row r="54" spans="2:23" x14ac:dyDescent="0.3">
      <c r="B54" s="301" t="s">
        <v>36</v>
      </c>
      <c r="C54" s="302"/>
      <c r="D54" s="302"/>
      <c r="E54" s="303"/>
      <c r="F54" s="131">
        <f>F43+F45+F47+F49+F51</f>
        <v>1800</v>
      </c>
      <c r="G54" s="131">
        <f t="shared" ref="G54:T54" si="34">G43+G45+G47+G49+G51</f>
        <v>1800</v>
      </c>
      <c r="H54" s="131">
        <f t="shared" si="34"/>
        <v>1800</v>
      </c>
      <c r="I54" s="131">
        <f t="shared" si="34"/>
        <v>3600</v>
      </c>
      <c r="J54" s="131">
        <f t="shared" si="34"/>
        <v>3600</v>
      </c>
      <c r="K54" s="131">
        <f t="shared" si="34"/>
        <v>3600</v>
      </c>
      <c r="L54" s="131">
        <f t="shared" si="34"/>
        <v>3600</v>
      </c>
      <c r="M54" s="131">
        <f t="shared" si="34"/>
        <v>3600</v>
      </c>
      <c r="N54" s="131">
        <f t="shared" si="34"/>
        <v>3600</v>
      </c>
      <c r="O54" s="131">
        <f t="shared" si="34"/>
        <v>3600</v>
      </c>
      <c r="P54" s="131">
        <f t="shared" si="34"/>
        <v>3600</v>
      </c>
      <c r="Q54" s="131">
        <f t="shared" si="34"/>
        <v>3600</v>
      </c>
      <c r="R54" s="127">
        <f t="shared" si="34"/>
        <v>37800</v>
      </c>
      <c r="S54" s="127">
        <f t="shared" si="34"/>
        <v>43200</v>
      </c>
      <c r="T54" s="127">
        <f t="shared" si="34"/>
        <v>43200</v>
      </c>
    </row>
    <row r="55" spans="2:23" x14ac:dyDescent="0.3">
      <c r="B55" s="301" t="s">
        <v>37</v>
      </c>
      <c r="C55" s="302"/>
      <c r="D55" s="302"/>
      <c r="E55" s="303"/>
      <c r="F55" s="131">
        <f>F44+F46+F48+F50+F52-F54</f>
        <v>1337.4</v>
      </c>
      <c r="G55" s="131">
        <f t="shared" ref="G55:T55" si="35">G44+G46+G48+G50+G52-G54</f>
        <v>1337.4</v>
      </c>
      <c r="H55" s="131">
        <f t="shared" si="35"/>
        <v>1337.4</v>
      </c>
      <c r="I55" s="131">
        <f t="shared" si="35"/>
        <v>2674.8</v>
      </c>
      <c r="J55" s="131">
        <f t="shared" si="35"/>
        <v>2674.8</v>
      </c>
      <c r="K55" s="131">
        <f t="shared" si="35"/>
        <v>2674.8</v>
      </c>
      <c r="L55" s="131">
        <f t="shared" si="35"/>
        <v>2674.8</v>
      </c>
      <c r="M55" s="131">
        <f t="shared" si="35"/>
        <v>2674.8</v>
      </c>
      <c r="N55" s="131">
        <f t="shared" si="35"/>
        <v>2674.8</v>
      </c>
      <c r="O55" s="131">
        <f t="shared" si="35"/>
        <v>2674.8</v>
      </c>
      <c r="P55" s="131">
        <f t="shared" si="35"/>
        <v>2674.8</v>
      </c>
      <c r="Q55" s="131">
        <f t="shared" si="35"/>
        <v>2674.8</v>
      </c>
      <c r="R55" s="127">
        <f t="shared" si="35"/>
        <v>28085.400000000009</v>
      </c>
      <c r="S55" s="127">
        <f t="shared" si="35"/>
        <v>32097.600000000006</v>
      </c>
      <c r="T55" s="127">
        <f t="shared" si="35"/>
        <v>32097.600000000006</v>
      </c>
    </row>
    <row r="56" spans="2:23" x14ac:dyDescent="0.3">
      <c r="B56" s="304" t="s">
        <v>38</v>
      </c>
      <c r="C56" s="304"/>
      <c r="D56" s="304"/>
      <c r="E56" s="148"/>
      <c r="F56" s="141">
        <f>F54+F55</f>
        <v>3137.4</v>
      </c>
      <c r="G56" s="141">
        <f t="shared" ref="G56:T56" si="36">G54+G55</f>
        <v>3137.4</v>
      </c>
      <c r="H56" s="141">
        <f t="shared" si="36"/>
        <v>3137.4</v>
      </c>
      <c r="I56" s="141">
        <f t="shared" si="36"/>
        <v>6274.8</v>
      </c>
      <c r="J56" s="141">
        <f t="shared" si="36"/>
        <v>6274.8</v>
      </c>
      <c r="K56" s="141">
        <f t="shared" si="36"/>
        <v>6274.8</v>
      </c>
      <c r="L56" s="141">
        <f t="shared" si="36"/>
        <v>6274.8</v>
      </c>
      <c r="M56" s="141">
        <f t="shared" si="36"/>
        <v>6274.8</v>
      </c>
      <c r="N56" s="141">
        <f t="shared" si="36"/>
        <v>6274.8</v>
      </c>
      <c r="O56" s="141">
        <f t="shared" si="36"/>
        <v>6274.8</v>
      </c>
      <c r="P56" s="141">
        <f t="shared" si="36"/>
        <v>6274.8</v>
      </c>
      <c r="Q56" s="141">
        <f t="shared" si="36"/>
        <v>6274.8</v>
      </c>
      <c r="R56" s="141">
        <f t="shared" si="36"/>
        <v>65885.400000000009</v>
      </c>
      <c r="S56" s="141">
        <f t="shared" si="36"/>
        <v>75297.600000000006</v>
      </c>
      <c r="T56" s="141">
        <f t="shared" si="36"/>
        <v>75297.600000000006</v>
      </c>
    </row>
    <row r="58" spans="2:23" x14ac:dyDescent="0.3">
      <c r="B58" s="279" t="s">
        <v>250</v>
      </c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</row>
    <row r="59" spans="2:23" hidden="1" x14ac:dyDescent="0.3">
      <c r="B59" s="120"/>
      <c r="C59" s="120"/>
      <c r="D59" s="120"/>
      <c r="E59" s="120"/>
      <c r="F59" s="120"/>
      <c r="G59" s="120"/>
      <c r="H59" s="120"/>
      <c r="I59" s="120">
        <v>0</v>
      </c>
      <c r="J59" s="120">
        <v>1</v>
      </c>
      <c r="K59" s="120">
        <v>2</v>
      </c>
      <c r="L59" s="120">
        <v>3</v>
      </c>
      <c r="M59" s="120">
        <v>4</v>
      </c>
      <c r="N59" s="120">
        <v>5</v>
      </c>
      <c r="O59" s="120">
        <v>6</v>
      </c>
      <c r="P59" s="120">
        <v>7</v>
      </c>
      <c r="Q59" s="120">
        <v>8</v>
      </c>
      <c r="R59" s="120">
        <v>9</v>
      </c>
      <c r="S59" s="120">
        <v>10</v>
      </c>
      <c r="T59" s="120">
        <v>11</v>
      </c>
      <c r="U59" s="120"/>
      <c r="V59" s="120"/>
      <c r="W59" s="120"/>
    </row>
    <row r="60" spans="2:23" x14ac:dyDescent="0.3">
      <c r="B60" s="290" t="s">
        <v>251</v>
      </c>
      <c r="C60" s="281" t="s">
        <v>8</v>
      </c>
      <c r="D60" s="281" t="s">
        <v>9</v>
      </c>
      <c r="E60" s="281" t="s">
        <v>183</v>
      </c>
      <c r="F60" s="290" t="s">
        <v>252</v>
      </c>
      <c r="G60" s="290" t="s">
        <v>253</v>
      </c>
      <c r="H60" s="290" t="s">
        <v>254</v>
      </c>
      <c r="I60" s="279" t="s">
        <v>10</v>
      </c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81" t="s">
        <v>11</v>
      </c>
      <c r="V60" s="281" t="s">
        <v>12</v>
      </c>
      <c r="W60" s="281" t="s">
        <v>13</v>
      </c>
    </row>
    <row r="61" spans="2:23" x14ac:dyDescent="0.3">
      <c r="B61" s="290"/>
      <c r="C61" s="281"/>
      <c r="D61" s="281"/>
      <c r="E61" s="281"/>
      <c r="F61" s="290"/>
      <c r="G61" s="290"/>
      <c r="H61" s="290"/>
      <c r="I61" s="149" t="str">
        <f>F40</f>
        <v>Luna I.</v>
      </c>
      <c r="J61" s="149" t="str">
        <f t="shared" ref="J61:T61" si="37">G40</f>
        <v>Luna II.</v>
      </c>
      <c r="K61" s="149" t="str">
        <f t="shared" si="37"/>
        <v>Luna III.</v>
      </c>
      <c r="L61" s="149" t="str">
        <f t="shared" si="37"/>
        <v>Luna IV.</v>
      </c>
      <c r="M61" s="149" t="str">
        <f t="shared" si="37"/>
        <v>Luna V.</v>
      </c>
      <c r="N61" s="149" t="str">
        <f t="shared" si="37"/>
        <v>Luna VI.</v>
      </c>
      <c r="O61" s="149" t="str">
        <f t="shared" si="37"/>
        <v>Luna VII.</v>
      </c>
      <c r="P61" s="149" t="str">
        <f t="shared" si="37"/>
        <v>Luna VIII.</v>
      </c>
      <c r="Q61" s="149" t="str">
        <f t="shared" si="37"/>
        <v>Luna IX.</v>
      </c>
      <c r="R61" s="149" t="str">
        <f t="shared" si="37"/>
        <v>Luna X.</v>
      </c>
      <c r="S61" s="149" t="str">
        <f t="shared" si="37"/>
        <v>Luna XI.</v>
      </c>
      <c r="T61" s="149" t="str">
        <f t="shared" si="37"/>
        <v>Luna XII.</v>
      </c>
      <c r="U61" s="281"/>
      <c r="V61" s="281"/>
      <c r="W61" s="281"/>
    </row>
    <row r="62" spans="2:23" ht="15" thickBot="1" x14ac:dyDescent="0.35">
      <c r="B62" s="282" t="s">
        <v>255</v>
      </c>
      <c r="C62" s="282"/>
      <c r="D62" s="282"/>
      <c r="E62" s="282"/>
      <c r="F62" s="279"/>
      <c r="G62" s="282"/>
      <c r="H62" s="282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</row>
    <row r="63" spans="2:23" ht="15" thickTop="1" x14ac:dyDescent="0.3">
      <c r="B63" s="57" t="s">
        <v>281</v>
      </c>
      <c r="C63" s="58">
        <v>50000</v>
      </c>
      <c r="D63" s="59" t="s">
        <v>282</v>
      </c>
      <c r="E63" s="60">
        <v>1</v>
      </c>
      <c r="F63" s="150">
        <f>C63*E63</f>
        <v>50000</v>
      </c>
      <c r="G63" s="69">
        <v>5</v>
      </c>
      <c r="H63" s="70">
        <v>1</v>
      </c>
      <c r="I63" s="56">
        <f>IF($H63&lt;=I$59,ROUND(IF($G63&lt;&gt;0,$F63/$G63/12,0),0),0)</f>
        <v>0</v>
      </c>
      <c r="J63" s="56">
        <f t="shared" ref="J63:T63" si="38">IF($H63&lt;=J$59,ROUND(IF($G63&lt;&gt;0,$F63/$G63/12,0),0),0)</f>
        <v>833</v>
      </c>
      <c r="K63" s="56">
        <f t="shared" si="38"/>
        <v>833</v>
      </c>
      <c r="L63" s="56">
        <f t="shared" si="38"/>
        <v>833</v>
      </c>
      <c r="M63" s="56">
        <f t="shared" si="38"/>
        <v>833</v>
      </c>
      <c r="N63" s="56">
        <f t="shared" si="38"/>
        <v>833</v>
      </c>
      <c r="O63" s="56">
        <f t="shared" si="38"/>
        <v>833</v>
      </c>
      <c r="P63" s="56">
        <f t="shared" si="38"/>
        <v>833</v>
      </c>
      <c r="Q63" s="56">
        <f t="shared" si="38"/>
        <v>833</v>
      </c>
      <c r="R63" s="56">
        <f t="shared" si="38"/>
        <v>833</v>
      </c>
      <c r="S63" s="56">
        <f t="shared" si="38"/>
        <v>833</v>
      </c>
      <c r="T63" s="56">
        <f t="shared" si="38"/>
        <v>833</v>
      </c>
      <c r="U63" s="49">
        <f>SUM(I63:T63)</f>
        <v>9163</v>
      </c>
      <c r="V63" s="50">
        <f>ROUND(IF($G63&lt;&gt;0,$F63/$G63,0),0)</f>
        <v>10000</v>
      </c>
      <c r="W63" s="50">
        <f t="shared" ref="W63:W80" si="39">ROUND(IF($G63&lt;&gt;0,$F63/$G63,0),0)</f>
        <v>10000</v>
      </c>
    </row>
    <row r="64" spans="2:23" x14ac:dyDescent="0.3">
      <c r="B64" s="61"/>
      <c r="C64" s="54"/>
      <c r="D64" s="55"/>
      <c r="E64" s="62"/>
      <c r="F64" s="150">
        <f t="shared" ref="F64:F80" si="40">C64*E64</f>
        <v>0</v>
      </c>
      <c r="G64" s="71"/>
      <c r="H64" s="72"/>
      <c r="I64" s="56">
        <f t="shared" ref="I64:T80" si="41">IF($H64&lt;=I$59,ROUND(IF($G64&lt;&gt;0,$F64/$G64/12,0),0),0)</f>
        <v>0</v>
      </c>
      <c r="J64" s="56">
        <f t="shared" si="41"/>
        <v>0</v>
      </c>
      <c r="K64" s="56">
        <f t="shared" si="41"/>
        <v>0</v>
      </c>
      <c r="L64" s="56">
        <f t="shared" si="41"/>
        <v>0</v>
      </c>
      <c r="M64" s="56">
        <f t="shared" si="41"/>
        <v>0</v>
      </c>
      <c r="N64" s="56">
        <f t="shared" si="41"/>
        <v>0</v>
      </c>
      <c r="O64" s="56">
        <f t="shared" si="41"/>
        <v>0</v>
      </c>
      <c r="P64" s="56">
        <f t="shared" si="41"/>
        <v>0</v>
      </c>
      <c r="Q64" s="56">
        <f t="shared" si="41"/>
        <v>0</v>
      </c>
      <c r="R64" s="56">
        <f t="shared" si="41"/>
        <v>0</v>
      </c>
      <c r="S64" s="56">
        <f t="shared" si="41"/>
        <v>0</v>
      </c>
      <c r="T64" s="56">
        <f t="shared" si="41"/>
        <v>0</v>
      </c>
      <c r="U64" s="49">
        <f t="shared" ref="U64:U80" si="42">SUM(I64:T64)</f>
        <v>0</v>
      </c>
      <c r="V64" s="50">
        <f>ROUND(IF($G64&lt;&gt;0,$F64/$G64,0),0)</f>
        <v>0</v>
      </c>
      <c r="W64" s="50">
        <f t="shared" si="39"/>
        <v>0</v>
      </c>
    </row>
    <row r="65" spans="2:23" x14ac:dyDescent="0.3">
      <c r="B65" s="61"/>
      <c r="C65" s="54"/>
      <c r="D65" s="55"/>
      <c r="E65" s="62"/>
      <c r="F65" s="150">
        <f t="shared" si="40"/>
        <v>0</v>
      </c>
      <c r="G65" s="71"/>
      <c r="H65" s="72"/>
      <c r="I65" s="56">
        <f t="shared" si="41"/>
        <v>0</v>
      </c>
      <c r="J65" s="56">
        <f t="shared" si="41"/>
        <v>0</v>
      </c>
      <c r="K65" s="56">
        <f t="shared" si="41"/>
        <v>0</v>
      </c>
      <c r="L65" s="56">
        <f t="shared" si="41"/>
        <v>0</v>
      </c>
      <c r="M65" s="56">
        <f t="shared" si="41"/>
        <v>0</v>
      </c>
      <c r="N65" s="56">
        <f t="shared" si="41"/>
        <v>0</v>
      </c>
      <c r="O65" s="56">
        <f t="shared" si="41"/>
        <v>0</v>
      </c>
      <c r="P65" s="56">
        <f t="shared" si="41"/>
        <v>0</v>
      </c>
      <c r="Q65" s="56">
        <f t="shared" si="41"/>
        <v>0</v>
      </c>
      <c r="R65" s="56">
        <f t="shared" si="41"/>
        <v>0</v>
      </c>
      <c r="S65" s="56">
        <f t="shared" si="41"/>
        <v>0</v>
      </c>
      <c r="T65" s="56">
        <f t="shared" si="41"/>
        <v>0</v>
      </c>
      <c r="U65" s="49">
        <f t="shared" si="42"/>
        <v>0</v>
      </c>
      <c r="V65" s="50">
        <f t="shared" ref="V65:V80" si="43">ROUND(IF($G65&lt;&gt;0,$F65/$G65,0),0)</f>
        <v>0</v>
      </c>
      <c r="W65" s="50">
        <f t="shared" si="39"/>
        <v>0</v>
      </c>
    </row>
    <row r="66" spans="2:23" x14ac:dyDescent="0.3">
      <c r="B66" s="61"/>
      <c r="C66" s="54"/>
      <c r="D66" s="55"/>
      <c r="E66" s="62"/>
      <c r="F66" s="150">
        <f t="shared" si="40"/>
        <v>0</v>
      </c>
      <c r="G66" s="71"/>
      <c r="H66" s="72"/>
      <c r="I66" s="56">
        <f t="shared" si="41"/>
        <v>0</v>
      </c>
      <c r="J66" s="56">
        <f t="shared" si="41"/>
        <v>0</v>
      </c>
      <c r="K66" s="56">
        <f t="shared" si="41"/>
        <v>0</v>
      </c>
      <c r="L66" s="56">
        <f t="shared" si="41"/>
        <v>0</v>
      </c>
      <c r="M66" s="56">
        <f t="shared" si="41"/>
        <v>0</v>
      </c>
      <c r="N66" s="56">
        <f t="shared" si="41"/>
        <v>0</v>
      </c>
      <c r="O66" s="56">
        <f t="shared" si="41"/>
        <v>0</v>
      </c>
      <c r="P66" s="56">
        <f t="shared" si="41"/>
        <v>0</v>
      </c>
      <c r="Q66" s="56">
        <f t="shared" si="41"/>
        <v>0</v>
      </c>
      <c r="R66" s="56">
        <f t="shared" si="41"/>
        <v>0</v>
      </c>
      <c r="S66" s="56">
        <f t="shared" si="41"/>
        <v>0</v>
      </c>
      <c r="T66" s="56">
        <f t="shared" si="41"/>
        <v>0</v>
      </c>
      <c r="U66" s="49">
        <f t="shared" si="42"/>
        <v>0</v>
      </c>
      <c r="V66" s="50">
        <f t="shared" si="43"/>
        <v>0</v>
      </c>
      <c r="W66" s="50">
        <f t="shared" si="39"/>
        <v>0</v>
      </c>
    </row>
    <row r="67" spans="2:23" x14ac:dyDescent="0.3">
      <c r="B67" s="61"/>
      <c r="C67" s="54"/>
      <c r="D67" s="55"/>
      <c r="E67" s="62"/>
      <c r="F67" s="150">
        <f t="shared" si="40"/>
        <v>0</v>
      </c>
      <c r="G67" s="71"/>
      <c r="H67" s="72"/>
      <c r="I67" s="56">
        <f t="shared" si="41"/>
        <v>0</v>
      </c>
      <c r="J67" s="56">
        <f t="shared" si="41"/>
        <v>0</v>
      </c>
      <c r="K67" s="56">
        <f t="shared" si="41"/>
        <v>0</v>
      </c>
      <c r="L67" s="56">
        <f t="shared" si="41"/>
        <v>0</v>
      </c>
      <c r="M67" s="56">
        <f t="shared" si="41"/>
        <v>0</v>
      </c>
      <c r="N67" s="56">
        <f t="shared" si="41"/>
        <v>0</v>
      </c>
      <c r="O67" s="56">
        <f t="shared" si="41"/>
        <v>0</v>
      </c>
      <c r="P67" s="56">
        <f t="shared" si="41"/>
        <v>0</v>
      </c>
      <c r="Q67" s="56">
        <f t="shared" si="41"/>
        <v>0</v>
      </c>
      <c r="R67" s="56">
        <f t="shared" si="41"/>
        <v>0</v>
      </c>
      <c r="S67" s="56">
        <f t="shared" si="41"/>
        <v>0</v>
      </c>
      <c r="T67" s="56">
        <f t="shared" si="41"/>
        <v>0</v>
      </c>
      <c r="U67" s="49">
        <f t="shared" si="42"/>
        <v>0</v>
      </c>
      <c r="V67" s="50">
        <f t="shared" si="43"/>
        <v>0</v>
      </c>
      <c r="W67" s="50">
        <f t="shared" si="39"/>
        <v>0</v>
      </c>
    </row>
    <row r="68" spans="2:23" x14ac:dyDescent="0.3">
      <c r="B68" s="63"/>
      <c r="C68" s="51"/>
      <c r="D68" s="52"/>
      <c r="E68" s="64"/>
      <c r="F68" s="150">
        <f t="shared" si="40"/>
        <v>0</v>
      </c>
      <c r="G68" s="73"/>
      <c r="H68" s="64"/>
      <c r="I68" s="56">
        <f t="shared" si="41"/>
        <v>0</v>
      </c>
      <c r="J68" s="56">
        <f t="shared" si="41"/>
        <v>0</v>
      </c>
      <c r="K68" s="56">
        <f t="shared" si="41"/>
        <v>0</v>
      </c>
      <c r="L68" s="56">
        <f t="shared" si="41"/>
        <v>0</v>
      </c>
      <c r="M68" s="56">
        <f t="shared" si="41"/>
        <v>0</v>
      </c>
      <c r="N68" s="56">
        <f t="shared" si="41"/>
        <v>0</v>
      </c>
      <c r="O68" s="56">
        <f t="shared" si="41"/>
        <v>0</v>
      </c>
      <c r="P68" s="56">
        <f t="shared" si="41"/>
        <v>0</v>
      </c>
      <c r="Q68" s="56">
        <f t="shared" si="41"/>
        <v>0</v>
      </c>
      <c r="R68" s="56">
        <f t="shared" si="41"/>
        <v>0</v>
      </c>
      <c r="S68" s="56">
        <f t="shared" si="41"/>
        <v>0</v>
      </c>
      <c r="T68" s="56">
        <f t="shared" si="41"/>
        <v>0</v>
      </c>
      <c r="U68" s="49">
        <f t="shared" si="42"/>
        <v>0</v>
      </c>
      <c r="V68" s="50">
        <f t="shared" si="43"/>
        <v>0</v>
      </c>
      <c r="W68" s="50">
        <f t="shared" si="39"/>
        <v>0</v>
      </c>
    </row>
    <row r="69" spans="2:23" x14ac:dyDescent="0.3">
      <c r="B69" s="63"/>
      <c r="C69" s="51"/>
      <c r="D69" s="52"/>
      <c r="E69" s="64"/>
      <c r="F69" s="150">
        <f t="shared" si="40"/>
        <v>0</v>
      </c>
      <c r="G69" s="73"/>
      <c r="H69" s="64"/>
      <c r="I69" s="56">
        <f t="shared" si="41"/>
        <v>0</v>
      </c>
      <c r="J69" s="56">
        <f t="shared" si="41"/>
        <v>0</v>
      </c>
      <c r="K69" s="56">
        <f t="shared" si="41"/>
        <v>0</v>
      </c>
      <c r="L69" s="56">
        <f t="shared" si="41"/>
        <v>0</v>
      </c>
      <c r="M69" s="56">
        <f t="shared" si="41"/>
        <v>0</v>
      </c>
      <c r="N69" s="56">
        <f t="shared" si="41"/>
        <v>0</v>
      </c>
      <c r="O69" s="56">
        <f t="shared" si="41"/>
        <v>0</v>
      </c>
      <c r="P69" s="56">
        <f t="shared" si="41"/>
        <v>0</v>
      </c>
      <c r="Q69" s="56">
        <f t="shared" si="41"/>
        <v>0</v>
      </c>
      <c r="R69" s="56">
        <f t="shared" si="41"/>
        <v>0</v>
      </c>
      <c r="S69" s="56">
        <f t="shared" si="41"/>
        <v>0</v>
      </c>
      <c r="T69" s="56">
        <f t="shared" si="41"/>
        <v>0</v>
      </c>
      <c r="U69" s="49">
        <f t="shared" si="42"/>
        <v>0</v>
      </c>
      <c r="V69" s="50">
        <f t="shared" si="43"/>
        <v>0</v>
      </c>
      <c r="W69" s="50">
        <f t="shared" si="39"/>
        <v>0</v>
      </c>
    </row>
    <row r="70" spans="2:23" x14ac:dyDescent="0.3">
      <c r="B70" s="63"/>
      <c r="C70" s="51"/>
      <c r="D70" s="52"/>
      <c r="E70" s="64"/>
      <c r="F70" s="150">
        <f t="shared" si="40"/>
        <v>0</v>
      </c>
      <c r="G70" s="73"/>
      <c r="H70" s="64"/>
      <c r="I70" s="56">
        <f t="shared" si="41"/>
        <v>0</v>
      </c>
      <c r="J70" s="56">
        <f t="shared" si="41"/>
        <v>0</v>
      </c>
      <c r="K70" s="56">
        <f t="shared" si="41"/>
        <v>0</v>
      </c>
      <c r="L70" s="56">
        <f t="shared" si="41"/>
        <v>0</v>
      </c>
      <c r="M70" s="56">
        <f t="shared" si="41"/>
        <v>0</v>
      </c>
      <c r="N70" s="56">
        <f t="shared" si="41"/>
        <v>0</v>
      </c>
      <c r="O70" s="56">
        <f t="shared" si="41"/>
        <v>0</v>
      </c>
      <c r="P70" s="56">
        <f t="shared" si="41"/>
        <v>0</v>
      </c>
      <c r="Q70" s="56">
        <f t="shared" si="41"/>
        <v>0</v>
      </c>
      <c r="R70" s="56">
        <f t="shared" si="41"/>
        <v>0</v>
      </c>
      <c r="S70" s="56">
        <f t="shared" si="41"/>
        <v>0</v>
      </c>
      <c r="T70" s="56">
        <f t="shared" si="41"/>
        <v>0</v>
      </c>
      <c r="U70" s="49">
        <f t="shared" si="42"/>
        <v>0</v>
      </c>
      <c r="V70" s="50">
        <f t="shared" si="43"/>
        <v>0</v>
      </c>
      <c r="W70" s="50">
        <f t="shared" si="39"/>
        <v>0</v>
      </c>
    </row>
    <row r="71" spans="2:23" x14ac:dyDescent="0.3">
      <c r="B71" s="63"/>
      <c r="C71" s="51"/>
      <c r="D71" s="52"/>
      <c r="E71" s="64"/>
      <c r="F71" s="150">
        <f t="shared" si="40"/>
        <v>0</v>
      </c>
      <c r="G71" s="73"/>
      <c r="H71" s="64"/>
      <c r="I71" s="56">
        <f t="shared" si="41"/>
        <v>0</v>
      </c>
      <c r="J71" s="56">
        <f t="shared" si="41"/>
        <v>0</v>
      </c>
      <c r="K71" s="56">
        <f t="shared" si="41"/>
        <v>0</v>
      </c>
      <c r="L71" s="56">
        <f t="shared" si="41"/>
        <v>0</v>
      </c>
      <c r="M71" s="56">
        <f t="shared" si="41"/>
        <v>0</v>
      </c>
      <c r="N71" s="56">
        <f t="shared" si="41"/>
        <v>0</v>
      </c>
      <c r="O71" s="56">
        <f t="shared" si="41"/>
        <v>0</v>
      </c>
      <c r="P71" s="56">
        <f t="shared" si="41"/>
        <v>0</v>
      </c>
      <c r="Q71" s="56">
        <f t="shared" si="41"/>
        <v>0</v>
      </c>
      <c r="R71" s="56">
        <f t="shared" si="41"/>
        <v>0</v>
      </c>
      <c r="S71" s="56">
        <f t="shared" si="41"/>
        <v>0</v>
      </c>
      <c r="T71" s="56">
        <f t="shared" si="41"/>
        <v>0</v>
      </c>
      <c r="U71" s="49">
        <f t="shared" si="42"/>
        <v>0</v>
      </c>
      <c r="V71" s="50">
        <f t="shared" si="43"/>
        <v>0</v>
      </c>
      <c r="W71" s="50">
        <f t="shared" si="39"/>
        <v>0</v>
      </c>
    </row>
    <row r="72" spans="2:23" x14ac:dyDescent="0.3">
      <c r="B72" s="63"/>
      <c r="C72" s="51"/>
      <c r="D72" s="52"/>
      <c r="E72" s="64"/>
      <c r="F72" s="150">
        <f t="shared" si="40"/>
        <v>0</v>
      </c>
      <c r="G72" s="73"/>
      <c r="H72" s="64"/>
      <c r="I72" s="56">
        <f t="shared" si="41"/>
        <v>0</v>
      </c>
      <c r="J72" s="56">
        <f t="shared" si="41"/>
        <v>0</v>
      </c>
      <c r="K72" s="56">
        <f t="shared" si="41"/>
        <v>0</v>
      </c>
      <c r="L72" s="56">
        <f t="shared" si="41"/>
        <v>0</v>
      </c>
      <c r="M72" s="56">
        <f t="shared" si="41"/>
        <v>0</v>
      </c>
      <c r="N72" s="56">
        <f t="shared" si="41"/>
        <v>0</v>
      </c>
      <c r="O72" s="56">
        <f t="shared" si="41"/>
        <v>0</v>
      </c>
      <c r="P72" s="56">
        <f t="shared" si="41"/>
        <v>0</v>
      </c>
      <c r="Q72" s="56">
        <f t="shared" si="41"/>
        <v>0</v>
      </c>
      <c r="R72" s="56">
        <f t="shared" si="41"/>
        <v>0</v>
      </c>
      <c r="S72" s="56">
        <f t="shared" si="41"/>
        <v>0</v>
      </c>
      <c r="T72" s="56">
        <f t="shared" si="41"/>
        <v>0</v>
      </c>
      <c r="U72" s="49">
        <f t="shared" si="42"/>
        <v>0</v>
      </c>
      <c r="V72" s="50">
        <f t="shared" si="43"/>
        <v>0</v>
      </c>
      <c r="W72" s="50">
        <f t="shared" si="39"/>
        <v>0</v>
      </c>
    </row>
    <row r="73" spans="2:23" x14ac:dyDescent="0.3">
      <c r="B73" s="63"/>
      <c r="C73" s="51"/>
      <c r="D73" s="52"/>
      <c r="E73" s="64"/>
      <c r="F73" s="150">
        <f t="shared" si="40"/>
        <v>0</v>
      </c>
      <c r="G73" s="73"/>
      <c r="H73" s="64"/>
      <c r="I73" s="56">
        <f t="shared" si="41"/>
        <v>0</v>
      </c>
      <c r="J73" s="56">
        <f t="shared" si="41"/>
        <v>0</v>
      </c>
      <c r="K73" s="56">
        <f t="shared" si="41"/>
        <v>0</v>
      </c>
      <c r="L73" s="56">
        <f t="shared" si="41"/>
        <v>0</v>
      </c>
      <c r="M73" s="56">
        <f t="shared" si="41"/>
        <v>0</v>
      </c>
      <c r="N73" s="56">
        <f t="shared" si="41"/>
        <v>0</v>
      </c>
      <c r="O73" s="56">
        <f t="shared" si="41"/>
        <v>0</v>
      </c>
      <c r="P73" s="56">
        <f t="shared" si="41"/>
        <v>0</v>
      </c>
      <c r="Q73" s="56">
        <f t="shared" si="41"/>
        <v>0</v>
      </c>
      <c r="R73" s="56">
        <f t="shared" si="41"/>
        <v>0</v>
      </c>
      <c r="S73" s="56">
        <f t="shared" si="41"/>
        <v>0</v>
      </c>
      <c r="T73" s="56">
        <f t="shared" si="41"/>
        <v>0</v>
      </c>
      <c r="U73" s="49">
        <f t="shared" si="42"/>
        <v>0</v>
      </c>
      <c r="V73" s="50">
        <f t="shared" si="43"/>
        <v>0</v>
      </c>
      <c r="W73" s="50">
        <f t="shared" si="39"/>
        <v>0</v>
      </c>
    </row>
    <row r="74" spans="2:23" x14ac:dyDescent="0.3">
      <c r="B74" s="63"/>
      <c r="C74" s="51"/>
      <c r="D74" s="52"/>
      <c r="E74" s="64"/>
      <c r="F74" s="150">
        <f t="shared" si="40"/>
        <v>0</v>
      </c>
      <c r="G74" s="73"/>
      <c r="H74" s="64"/>
      <c r="I74" s="56">
        <f t="shared" si="41"/>
        <v>0</v>
      </c>
      <c r="J74" s="56">
        <f t="shared" si="41"/>
        <v>0</v>
      </c>
      <c r="K74" s="56">
        <f t="shared" si="41"/>
        <v>0</v>
      </c>
      <c r="L74" s="56">
        <f t="shared" si="41"/>
        <v>0</v>
      </c>
      <c r="M74" s="56">
        <f t="shared" si="41"/>
        <v>0</v>
      </c>
      <c r="N74" s="56">
        <f t="shared" si="41"/>
        <v>0</v>
      </c>
      <c r="O74" s="56">
        <f t="shared" si="41"/>
        <v>0</v>
      </c>
      <c r="P74" s="56">
        <f t="shared" si="41"/>
        <v>0</v>
      </c>
      <c r="Q74" s="56">
        <f t="shared" si="41"/>
        <v>0</v>
      </c>
      <c r="R74" s="56">
        <f t="shared" si="41"/>
        <v>0</v>
      </c>
      <c r="S74" s="56">
        <f t="shared" si="41"/>
        <v>0</v>
      </c>
      <c r="T74" s="56">
        <f t="shared" si="41"/>
        <v>0</v>
      </c>
      <c r="U74" s="49">
        <f t="shared" si="42"/>
        <v>0</v>
      </c>
      <c r="V74" s="50">
        <f t="shared" si="43"/>
        <v>0</v>
      </c>
      <c r="W74" s="50">
        <f t="shared" si="39"/>
        <v>0</v>
      </c>
    </row>
    <row r="75" spans="2:23" x14ac:dyDescent="0.3">
      <c r="B75" s="63"/>
      <c r="C75" s="51"/>
      <c r="D75" s="52"/>
      <c r="E75" s="64"/>
      <c r="F75" s="150">
        <f t="shared" si="40"/>
        <v>0</v>
      </c>
      <c r="G75" s="73"/>
      <c r="H75" s="64"/>
      <c r="I75" s="56">
        <f t="shared" si="41"/>
        <v>0</v>
      </c>
      <c r="J75" s="56">
        <f t="shared" si="41"/>
        <v>0</v>
      </c>
      <c r="K75" s="56">
        <f t="shared" si="41"/>
        <v>0</v>
      </c>
      <c r="L75" s="56">
        <f t="shared" si="41"/>
        <v>0</v>
      </c>
      <c r="M75" s="56">
        <f t="shared" si="41"/>
        <v>0</v>
      </c>
      <c r="N75" s="56">
        <f t="shared" si="41"/>
        <v>0</v>
      </c>
      <c r="O75" s="56">
        <f t="shared" si="41"/>
        <v>0</v>
      </c>
      <c r="P75" s="56">
        <f t="shared" si="41"/>
        <v>0</v>
      </c>
      <c r="Q75" s="56">
        <f t="shared" si="41"/>
        <v>0</v>
      </c>
      <c r="R75" s="56">
        <f t="shared" si="41"/>
        <v>0</v>
      </c>
      <c r="S75" s="56">
        <f t="shared" si="41"/>
        <v>0</v>
      </c>
      <c r="T75" s="56">
        <f t="shared" si="41"/>
        <v>0</v>
      </c>
      <c r="U75" s="49">
        <f t="shared" si="42"/>
        <v>0</v>
      </c>
      <c r="V75" s="50">
        <f t="shared" si="43"/>
        <v>0</v>
      </c>
      <c r="W75" s="50">
        <f t="shared" si="39"/>
        <v>0</v>
      </c>
    </row>
    <row r="76" spans="2:23" x14ac:dyDescent="0.3">
      <c r="B76" s="63"/>
      <c r="C76" s="51"/>
      <c r="D76" s="52"/>
      <c r="E76" s="64"/>
      <c r="F76" s="150">
        <f t="shared" si="40"/>
        <v>0</v>
      </c>
      <c r="G76" s="73"/>
      <c r="H76" s="64"/>
      <c r="I76" s="56">
        <f t="shared" si="41"/>
        <v>0</v>
      </c>
      <c r="J76" s="56">
        <f t="shared" si="41"/>
        <v>0</v>
      </c>
      <c r="K76" s="56">
        <f t="shared" si="41"/>
        <v>0</v>
      </c>
      <c r="L76" s="56">
        <f t="shared" si="41"/>
        <v>0</v>
      </c>
      <c r="M76" s="56">
        <f t="shared" si="41"/>
        <v>0</v>
      </c>
      <c r="N76" s="56">
        <f t="shared" si="41"/>
        <v>0</v>
      </c>
      <c r="O76" s="56">
        <f t="shared" si="41"/>
        <v>0</v>
      </c>
      <c r="P76" s="56">
        <f t="shared" si="41"/>
        <v>0</v>
      </c>
      <c r="Q76" s="56">
        <f t="shared" si="41"/>
        <v>0</v>
      </c>
      <c r="R76" s="56">
        <f t="shared" si="41"/>
        <v>0</v>
      </c>
      <c r="S76" s="56">
        <f t="shared" si="41"/>
        <v>0</v>
      </c>
      <c r="T76" s="56">
        <f t="shared" si="41"/>
        <v>0</v>
      </c>
      <c r="U76" s="49">
        <f t="shared" si="42"/>
        <v>0</v>
      </c>
      <c r="V76" s="50">
        <f t="shared" si="43"/>
        <v>0</v>
      </c>
      <c r="W76" s="50">
        <f t="shared" si="39"/>
        <v>0</v>
      </c>
    </row>
    <row r="77" spans="2:23" x14ac:dyDescent="0.3">
      <c r="B77" s="63"/>
      <c r="C77" s="51"/>
      <c r="D77" s="52"/>
      <c r="E77" s="64"/>
      <c r="F77" s="150">
        <f t="shared" si="40"/>
        <v>0</v>
      </c>
      <c r="G77" s="73"/>
      <c r="H77" s="64"/>
      <c r="I77" s="56">
        <f t="shared" si="41"/>
        <v>0</v>
      </c>
      <c r="J77" s="56">
        <f t="shared" si="41"/>
        <v>0</v>
      </c>
      <c r="K77" s="56">
        <f t="shared" si="41"/>
        <v>0</v>
      </c>
      <c r="L77" s="56">
        <f t="shared" si="41"/>
        <v>0</v>
      </c>
      <c r="M77" s="56">
        <f t="shared" si="41"/>
        <v>0</v>
      </c>
      <c r="N77" s="56">
        <f t="shared" si="41"/>
        <v>0</v>
      </c>
      <c r="O77" s="56">
        <f t="shared" si="41"/>
        <v>0</v>
      </c>
      <c r="P77" s="56">
        <f t="shared" si="41"/>
        <v>0</v>
      </c>
      <c r="Q77" s="56">
        <f t="shared" si="41"/>
        <v>0</v>
      </c>
      <c r="R77" s="56">
        <f t="shared" si="41"/>
        <v>0</v>
      </c>
      <c r="S77" s="56">
        <f t="shared" si="41"/>
        <v>0</v>
      </c>
      <c r="T77" s="56">
        <f t="shared" si="41"/>
        <v>0</v>
      </c>
      <c r="U77" s="49">
        <f t="shared" si="42"/>
        <v>0</v>
      </c>
      <c r="V77" s="50">
        <f t="shared" si="43"/>
        <v>0</v>
      </c>
      <c r="W77" s="50">
        <f t="shared" si="39"/>
        <v>0</v>
      </c>
    </row>
    <row r="78" spans="2:23" x14ac:dyDescent="0.3">
      <c r="B78" s="63"/>
      <c r="C78" s="51"/>
      <c r="D78" s="52"/>
      <c r="E78" s="64"/>
      <c r="F78" s="150">
        <f t="shared" si="40"/>
        <v>0</v>
      </c>
      <c r="G78" s="73"/>
      <c r="H78" s="64"/>
      <c r="I78" s="56">
        <f t="shared" si="41"/>
        <v>0</v>
      </c>
      <c r="J78" s="56">
        <f t="shared" si="41"/>
        <v>0</v>
      </c>
      <c r="K78" s="56">
        <f t="shared" si="41"/>
        <v>0</v>
      </c>
      <c r="L78" s="56">
        <f t="shared" si="41"/>
        <v>0</v>
      </c>
      <c r="M78" s="56">
        <f t="shared" si="41"/>
        <v>0</v>
      </c>
      <c r="N78" s="56">
        <f t="shared" si="41"/>
        <v>0</v>
      </c>
      <c r="O78" s="56">
        <f t="shared" si="41"/>
        <v>0</v>
      </c>
      <c r="P78" s="56">
        <f t="shared" si="41"/>
        <v>0</v>
      </c>
      <c r="Q78" s="56">
        <f t="shared" si="41"/>
        <v>0</v>
      </c>
      <c r="R78" s="56">
        <f t="shared" si="41"/>
        <v>0</v>
      </c>
      <c r="S78" s="56">
        <f t="shared" si="41"/>
        <v>0</v>
      </c>
      <c r="T78" s="56">
        <f t="shared" si="41"/>
        <v>0</v>
      </c>
      <c r="U78" s="49">
        <f t="shared" si="42"/>
        <v>0</v>
      </c>
      <c r="V78" s="50">
        <f t="shared" si="43"/>
        <v>0</v>
      </c>
      <c r="W78" s="50">
        <f t="shared" si="39"/>
        <v>0</v>
      </c>
    </row>
    <row r="79" spans="2:23" x14ac:dyDescent="0.3">
      <c r="B79" s="63"/>
      <c r="C79" s="51"/>
      <c r="D79" s="52"/>
      <c r="E79" s="64"/>
      <c r="F79" s="150">
        <f t="shared" si="40"/>
        <v>0</v>
      </c>
      <c r="G79" s="73"/>
      <c r="H79" s="64"/>
      <c r="I79" s="56">
        <f t="shared" si="41"/>
        <v>0</v>
      </c>
      <c r="J79" s="56">
        <f t="shared" si="41"/>
        <v>0</v>
      </c>
      <c r="K79" s="56">
        <f t="shared" si="41"/>
        <v>0</v>
      </c>
      <c r="L79" s="56">
        <f t="shared" si="41"/>
        <v>0</v>
      </c>
      <c r="M79" s="56">
        <f t="shared" si="41"/>
        <v>0</v>
      </c>
      <c r="N79" s="56">
        <f t="shared" si="41"/>
        <v>0</v>
      </c>
      <c r="O79" s="56">
        <f t="shared" si="41"/>
        <v>0</v>
      </c>
      <c r="P79" s="56">
        <f t="shared" si="41"/>
        <v>0</v>
      </c>
      <c r="Q79" s="56">
        <f t="shared" si="41"/>
        <v>0</v>
      </c>
      <c r="R79" s="56">
        <f t="shared" si="41"/>
        <v>0</v>
      </c>
      <c r="S79" s="56">
        <f t="shared" si="41"/>
        <v>0</v>
      </c>
      <c r="T79" s="56">
        <f t="shared" si="41"/>
        <v>0</v>
      </c>
      <c r="U79" s="49">
        <f t="shared" si="42"/>
        <v>0</v>
      </c>
      <c r="V79" s="50">
        <f t="shared" si="43"/>
        <v>0</v>
      </c>
      <c r="W79" s="50">
        <f t="shared" si="39"/>
        <v>0</v>
      </c>
    </row>
    <row r="80" spans="2:23" ht="15" thickBot="1" x14ac:dyDescent="0.35">
      <c r="B80" s="65"/>
      <c r="C80" s="66"/>
      <c r="D80" s="67"/>
      <c r="E80" s="68"/>
      <c r="F80" s="150">
        <f t="shared" si="40"/>
        <v>0</v>
      </c>
      <c r="G80" s="74"/>
      <c r="H80" s="68"/>
      <c r="I80" s="56">
        <f t="shared" si="41"/>
        <v>0</v>
      </c>
      <c r="J80" s="56">
        <f t="shared" si="41"/>
        <v>0</v>
      </c>
      <c r="K80" s="56">
        <f t="shared" si="41"/>
        <v>0</v>
      </c>
      <c r="L80" s="56">
        <f t="shared" si="41"/>
        <v>0</v>
      </c>
      <c r="M80" s="56">
        <f t="shared" si="41"/>
        <v>0</v>
      </c>
      <c r="N80" s="56">
        <f t="shared" si="41"/>
        <v>0</v>
      </c>
      <c r="O80" s="56">
        <f t="shared" si="41"/>
        <v>0</v>
      </c>
      <c r="P80" s="56">
        <f t="shared" si="41"/>
        <v>0</v>
      </c>
      <c r="Q80" s="56">
        <f t="shared" si="41"/>
        <v>0</v>
      </c>
      <c r="R80" s="56">
        <f t="shared" si="41"/>
        <v>0</v>
      </c>
      <c r="S80" s="56">
        <f t="shared" si="41"/>
        <v>0</v>
      </c>
      <c r="T80" s="56">
        <f t="shared" si="41"/>
        <v>0</v>
      </c>
      <c r="U80" s="49">
        <f t="shared" si="42"/>
        <v>0</v>
      </c>
      <c r="V80" s="50">
        <f t="shared" si="43"/>
        <v>0</v>
      </c>
      <c r="W80" s="50">
        <f t="shared" si="39"/>
        <v>0</v>
      </c>
    </row>
    <row r="81" spans="2:23" ht="15" thickTop="1" x14ac:dyDescent="0.3">
      <c r="B81" s="151" t="s">
        <v>256</v>
      </c>
      <c r="C81" s="151"/>
      <c r="D81" s="152" t="s">
        <v>16</v>
      </c>
      <c r="E81" s="153">
        <f>SUM(E63:E80)</f>
        <v>1</v>
      </c>
      <c r="F81" s="154">
        <f>SUM(F63:F80)</f>
        <v>50000</v>
      </c>
      <c r="G81" s="152"/>
      <c r="H81" s="152"/>
      <c r="I81" s="53">
        <f>SUM(I63:I80)</f>
        <v>0</v>
      </c>
      <c r="J81" s="53">
        <f t="shared" ref="J81:T81" si="44">SUM(J63:J80)</f>
        <v>833</v>
      </c>
      <c r="K81" s="53">
        <f t="shared" si="44"/>
        <v>833</v>
      </c>
      <c r="L81" s="53">
        <f t="shared" si="44"/>
        <v>833</v>
      </c>
      <c r="M81" s="53">
        <f t="shared" si="44"/>
        <v>833</v>
      </c>
      <c r="N81" s="53">
        <f t="shared" si="44"/>
        <v>833</v>
      </c>
      <c r="O81" s="53">
        <f t="shared" si="44"/>
        <v>833</v>
      </c>
      <c r="P81" s="53">
        <f t="shared" si="44"/>
        <v>833</v>
      </c>
      <c r="Q81" s="53">
        <f t="shared" si="44"/>
        <v>833</v>
      </c>
      <c r="R81" s="53">
        <f t="shared" si="44"/>
        <v>833</v>
      </c>
      <c r="S81" s="53">
        <f t="shared" si="44"/>
        <v>833</v>
      </c>
      <c r="T81" s="53">
        <f t="shared" si="44"/>
        <v>833</v>
      </c>
      <c r="U81" s="53">
        <f>SUM(U63:U80)</f>
        <v>9163</v>
      </c>
      <c r="V81" s="53">
        <f>SUM(V63:V80)</f>
        <v>10000</v>
      </c>
      <c r="W81" s="53">
        <f>SUM(W63:W80)</f>
        <v>10000</v>
      </c>
    </row>
  </sheetData>
  <sheetProtection algorithmName="SHA-512" hashValue="1tGu79plWF2N4hSBWEhnA4CECcM0jSHMVlXtYDB0kOgDUaAQqjw6nt5VPfHPnV8TXa0xV2eFy8bfmDtthdAP8w==" saltValue="1djWi9fJ0y6gndy5ZnaASA==" spinCount="100000" sheet="1" objects="1" scenarios="1"/>
  <mergeCells count="54">
    <mergeCell ref="F60:F61"/>
    <mergeCell ref="W60:W61"/>
    <mergeCell ref="B62:W62"/>
    <mergeCell ref="B58:W58"/>
    <mergeCell ref="B53:T53"/>
    <mergeCell ref="B54:E54"/>
    <mergeCell ref="B55:E55"/>
    <mergeCell ref="B56:D56"/>
    <mergeCell ref="G60:G61"/>
    <mergeCell ref="H60:H61"/>
    <mergeCell ref="I60:T60"/>
    <mergeCell ref="U60:U61"/>
    <mergeCell ref="V60:V61"/>
    <mergeCell ref="B60:B61"/>
    <mergeCell ref="C60:C61"/>
    <mergeCell ref="D60:D61"/>
    <mergeCell ref="E60:E61"/>
    <mergeCell ref="B41:T41"/>
    <mergeCell ref="B43:B44"/>
    <mergeCell ref="C43:C44"/>
    <mergeCell ref="D43:D44"/>
    <mergeCell ref="B51:B52"/>
    <mergeCell ref="C51:C52"/>
    <mergeCell ref="D51:D52"/>
    <mergeCell ref="B45:B46"/>
    <mergeCell ref="C45:C46"/>
    <mergeCell ref="D45:D46"/>
    <mergeCell ref="B47:B48"/>
    <mergeCell ref="C47:C48"/>
    <mergeCell ref="D47:D48"/>
    <mergeCell ref="B49:B50"/>
    <mergeCell ref="C49:C50"/>
    <mergeCell ref="D49:D50"/>
    <mergeCell ref="R39:R40"/>
    <mergeCell ref="B13:T13"/>
    <mergeCell ref="B11:B12"/>
    <mergeCell ref="C11:C12"/>
    <mergeCell ref="D11:O11"/>
    <mergeCell ref="P11:P12"/>
    <mergeCell ref="S11:T12"/>
    <mergeCell ref="Q11:R12"/>
    <mergeCell ref="S39:S40"/>
    <mergeCell ref="T39:T40"/>
    <mergeCell ref="P38:R38"/>
    <mergeCell ref="B39:B40"/>
    <mergeCell ref="C39:C40"/>
    <mergeCell ref="D39:D40"/>
    <mergeCell ref="E39:E40"/>
    <mergeCell ref="C42:E42"/>
    <mergeCell ref="C6:F6"/>
    <mergeCell ref="C7:F7"/>
    <mergeCell ref="C8:F8"/>
    <mergeCell ref="C9:F9"/>
    <mergeCell ref="F39:Q39"/>
  </mergeCells>
  <dataValidations disablePrompts="1" count="2">
    <dataValidation type="decimal" allowBlank="1" showInputMessage="1" showErrorMessage="1" sqref="D43:D52" xr:uid="{FB95B684-6E09-4E8C-BC1E-4651F50FEA04}">
      <formula1>0</formula1>
      <formula2>250</formula2>
    </dataValidation>
    <dataValidation type="whole" allowBlank="1" showInputMessage="1" showErrorMessage="1" sqref="E63:E80" xr:uid="{69B2DBEB-EA0A-4C60-BE58-98E0CD2925D1}">
      <formula1>0</formula1>
      <formula2>256</formula2>
    </dataValidation>
  </dataValidations>
  <pageMargins left="0.25" right="0.25" top="0.75" bottom="0.75" header="0.3" footer="0.3"/>
  <pageSetup paperSize="9" scale="64" orientation="landscape" r:id="rId1"/>
  <ignoredErrors>
    <ignoredError sqref="C6:F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E538-81C3-4F5D-BB12-310C7E814891}">
  <sheetPr>
    <pageSetUpPr fitToPage="1"/>
  </sheetPr>
  <dimension ref="B6:R40"/>
  <sheetViews>
    <sheetView showGridLines="0" zoomScale="90" zoomScaleNormal="90" workbookViewId="0">
      <selection activeCell="D14" sqref="D14"/>
    </sheetView>
  </sheetViews>
  <sheetFormatPr defaultColWidth="9.109375" defaultRowHeight="14.4" x14ac:dyDescent="0.3"/>
  <cols>
    <col min="1" max="1" width="3.77734375" style="118" customWidth="1"/>
    <col min="2" max="2" width="47.44140625" style="118" bestFit="1" customWidth="1"/>
    <col min="3" max="3" width="9.109375" style="118"/>
    <col min="4" max="15" width="10.109375" style="118" customWidth="1"/>
    <col min="16" max="18" width="15.77734375" style="118" customWidth="1"/>
    <col min="19" max="16384" width="9.109375" style="118"/>
  </cols>
  <sheetData>
    <row r="6" spans="2:18" x14ac:dyDescent="0.3">
      <c r="B6" s="36" t="s">
        <v>130</v>
      </c>
      <c r="C6" s="270" t="str">
        <f>Centralizator!C6</f>
        <v>se completează pe pagina Centralizator</v>
      </c>
      <c r="D6" s="271"/>
      <c r="E6" s="271"/>
      <c r="F6" s="272"/>
    </row>
    <row r="7" spans="2:18" ht="14.25" customHeight="1" x14ac:dyDescent="0.3">
      <c r="B7" s="36" t="s">
        <v>131</v>
      </c>
      <c r="C7" s="270" t="str">
        <f>Centralizator!C7</f>
        <v>se completează pe pagina Centralizator</v>
      </c>
      <c r="D7" s="271"/>
      <c r="E7" s="271"/>
      <c r="F7" s="272"/>
    </row>
    <row r="8" spans="2:18" ht="14.25" customHeight="1" x14ac:dyDescent="0.3">
      <c r="B8" s="36" t="s">
        <v>132</v>
      </c>
      <c r="C8" s="270" t="str">
        <f>Centralizator!C8</f>
        <v>se completează pe pagina Centralizator</v>
      </c>
      <c r="D8" s="271"/>
      <c r="E8" s="271"/>
      <c r="F8" s="272"/>
    </row>
    <row r="9" spans="2:18" ht="14.25" customHeight="1" x14ac:dyDescent="0.3">
      <c r="B9" s="36" t="s">
        <v>133</v>
      </c>
      <c r="C9" s="270" t="str">
        <f>Centralizator!C9</f>
        <v>se completează pe pagina Centralizator</v>
      </c>
      <c r="D9" s="271"/>
      <c r="E9" s="271"/>
      <c r="F9" s="272"/>
    </row>
    <row r="11" spans="2:18" x14ac:dyDescent="0.3">
      <c r="B11" s="281" t="s">
        <v>7</v>
      </c>
      <c r="C11" s="281" t="s">
        <v>9</v>
      </c>
      <c r="D11" s="279" t="s">
        <v>10</v>
      </c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81" t="s">
        <v>11</v>
      </c>
      <c r="Q11" s="281" t="s">
        <v>12</v>
      </c>
      <c r="R11" s="281" t="s">
        <v>13</v>
      </c>
    </row>
    <row r="12" spans="2:18" x14ac:dyDescent="0.3">
      <c r="B12" s="281"/>
      <c r="C12" s="281"/>
      <c r="D12" s="120" t="str">
        <f>'Prog. ch. fixe'!I61</f>
        <v>Luna I.</v>
      </c>
      <c r="E12" s="120" t="str">
        <f>'Prog. ch. fixe'!J61</f>
        <v>Luna II.</v>
      </c>
      <c r="F12" s="120" t="str">
        <f>'Prog. ch. fixe'!K61</f>
        <v>Luna III.</v>
      </c>
      <c r="G12" s="120" t="str">
        <f>'Prog. ch. fixe'!L61</f>
        <v>Luna IV.</v>
      </c>
      <c r="H12" s="120" t="str">
        <f>'Prog. ch. fixe'!M61</f>
        <v>Luna V.</v>
      </c>
      <c r="I12" s="120" t="str">
        <f>'Prog. ch. fixe'!N61</f>
        <v>Luna VI.</v>
      </c>
      <c r="J12" s="120" t="str">
        <f>'Prog. ch. fixe'!O61</f>
        <v>Luna VII.</v>
      </c>
      <c r="K12" s="120" t="str">
        <f>'Prog. ch. fixe'!P61</f>
        <v>Luna VIII.</v>
      </c>
      <c r="L12" s="120" t="str">
        <f>'Prog. ch. fixe'!Q61</f>
        <v>Luna IX.</v>
      </c>
      <c r="M12" s="120" t="str">
        <f>'Prog. ch. fixe'!R61</f>
        <v>Luna X.</v>
      </c>
      <c r="N12" s="120" t="str">
        <f>'Prog. ch. fixe'!S61</f>
        <v>Luna XI.</v>
      </c>
      <c r="O12" s="120" t="str">
        <f>'Prog. ch. fixe'!T61</f>
        <v>Luna XII.</v>
      </c>
      <c r="P12" s="281"/>
      <c r="Q12" s="281"/>
      <c r="R12" s="281"/>
    </row>
    <row r="13" spans="2:18" x14ac:dyDescent="0.3">
      <c r="B13" s="279" t="s">
        <v>58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</row>
    <row r="14" spans="2:18" x14ac:dyDescent="0.3">
      <c r="B14" s="121" t="s">
        <v>59</v>
      </c>
      <c r="C14" s="125" t="s">
        <v>16</v>
      </c>
      <c r="D14" s="131">
        <f>'Prog. veniturilor'!E42</f>
        <v>22000</v>
      </c>
      <c r="E14" s="131">
        <f>'Prog. veniturilor'!F42</f>
        <v>22000</v>
      </c>
      <c r="F14" s="131">
        <f>'Prog. veniturilor'!G42</f>
        <v>22000</v>
      </c>
      <c r="G14" s="131">
        <f>'Prog. veniturilor'!H42</f>
        <v>22000</v>
      </c>
      <c r="H14" s="131">
        <f>'Prog. veniturilor'!I42</f>
        <v>22000</v>
      </c>
      <c r="I14" s="131">
        <f>'Prog. veniturilor'!J42</f>
        <v>22000</v>
      </c>
      <c r="J14" s="131">
        <f>'Prog. veniturilor'!K42</f>
        <v>22000</v>
      </c>
      <c r="K14" s="131">
        <f>'Prog. veniturilor'!L42</f>
        <v>22000</v>
      </c>
      <c r="L14" s="131">
        <f>'Prog. veniturilor'!M42</f>
        <v>22000</v>
      </c>
      <c r="M14" s="131">
        <f>'Prog. veniturilor'!N42</f>
        <v>22000</v>
      </c>
      <c r="N14" s="131">
        <f>'Prog. veniturilor'!O42</f>
        <v>22000</v>
      </c>
      <c r="O14" s="131">
        <f>'Prog. veniturilor'!P42</f>
        <v>22000</v>
      </c>
      <c r="P14" s="127">
        <f t="shared" ref="P14:P27" si="0">SUM(D14:O14)</f>
        <v>264000</v>
      </c>
      <c r="Q14" s="127">
        <f>'Prog. veniturilor'!R42</f>
        <v>280000</v>
      </c>
      <c r="R14" s="127">
        <f>'Prog. veniturilor'!S42</f>
        <v>290000</v>
      </c>
    </row>
    <row r="15" spans="2:18" x14ac:dyDescent="0.3">
      <c r="B15" s="121" t="s">
        <v>277</v>
      </c>
      <c r="C15" s="125" t="s">
        <v>16</v>
      </c>
      <c r="D15" s="131">
        <f>IFERROR(ROUND(Centralizator!$F$23*D26/'Prog. ch. fixe'!$F$81+(Centralizator!$F$49-Centralizator!$F$23)*75%,0),0)</f>
        <v>0</v>
      </c>
      <c r="E15" s="131">
        <f>IFERROR(ROUND(Centralizator!$F$23*E26/'Prog. ch. fixe'!$F$81+IF(CF!E20&gt;0,(Centralizator!$F$49-Centralizator!$F$23)*25%,0),0),0)</f>
        <v>833</v>
      </c>
      <c r="F15" s="131">
        <f>IFERROR(ROUND(Centralizator!$F$23*F26/'Prog. ch. fixe'!$F$81+IF(CF!F20&gt;0,(Centralizator!$F$49-Centralizator!$F$23)*25%,0),0),0)</f>
        <v>833</v>
      </c>
      <c r="G15" s="131">
        <f>IFERROR(ROUND(Centralizator!$F$23*G26/'Prog. ch. fixe'!$F$81+IF(CF!G20&gt;0,(Centralizator!$F$49-Centralizator!$F$23)*25%,0),0),0)</f>
        <v>833</v>
      </c>
      <c r="H15" s="131">
        <f>IFERROR(ROUND(Centralizator!$F$23*H26/'Prog. ch. fixe'!$F$81+IF(CF!H20&gt;0,(Centralizator!$F$49-Centralizator!$F$23)*25%,0),0),0)</f>
        <v>833</v>
      </c>
      <c r="I15" s="131">
        <f>IFERROR(ROUND(Centralizator!$F$23*I26/'Prog. ch. fixe'!$F$81+IF(CF!I20&gt;0,(Centralizator!$F$49-Centralizator!$F$23)*25%,0),0),0)</f>
        <v>833</v>
      </c>
      <c r="J15" s="131">
        <f>IFERROR(ROUND(Centralizator!$F$23*J26/'Prog. ch. fixe'!$F$81+IF(CF!J20&gt;0,(Centralizator!$F$49-Centralizator!$F$23)*25%,0),0),0)</f>
        <v>833</v>
      </c>
      <c r="K15" s="131">
        <f>IFERROR(ROUND(Centralizator!$F$23*K26/'Prog. ch. fixe'!$F$81+IF(CF!K20&gt;0,(Centralizator!$F$49-Centralizator!$F$23)*25%,0),0),0)</f>
        <v>833</v>
      </c>
      <c r="L15" s="131">
        <f>IFERROR(ROUND(Centralizator!$F$23*L26/'Prog. ch. fixe'!$F$81+IF(CF!L20&gt;0,(Centralizator!$F$49-Centralizator!$F$23)*25%,0),0),0)</f>
        <v>833</v>
      </c>
      <c r="M15" s="131">
        <f>IFERROR(ROUND(Centralizator!$F$23*M26/'Prog. ch. fixe'!$F$81+IF(CF!M20&gt;0,(Centralizator!$F$49-Centralizator!$F$23)*25%,0),0),0)</f>
        <v>833</v>
      </c>
      <c r="N15" s="131">
        <f>IFERROR(ROUND(Centralizator!$F$23*N26/'Prog. ch. fixe'!$F$81+IF(CF!N20&gt;0,(Centralizator!$F$49-Centralizator!$F$23)*25%,0),0),0)</f>
        <v>833</v>
      </c>
      <c r="O15" s="131">
        <f>IFERROR(ROUND(Centralizator!$F$23*O26/'Prog. ch. fixe'!$F$81+IF(CF!O20&gt;0,(Centralizator!$F$49-Centralizator!$F$23)*25%,0),0),0)</f>
        <v>833</v>
      </c>
      <c r="P15" s="127">
        <f t="shared" si="0"/>
        <v>9163</v>
      </c>
      <c r="Q15" s="127">
        <f>IFERROR(ROUND(Centralizator!$F$23*Q26/'Prog. ch. fixe'!$F$81+IF(CF!Q20&gt;0,(Centralizator!$F$49-Centralizator!$F$23)*25%,0),0),0)</f>
        <v>9163</v>
      </c>
      <c r="R15" s="127">
        <f>IFERROR(ROUND(Centralizator!$F$23*R26/'Prog. ch. fixe'!$F$81+IF(CF!R20&gt;0,(Centralizator!$F$49-Centralizator!$F$23)*25%,0),0),0)</f>
        <v>9163</v>
      </c>
    </row>
    <row r="16" spans="2:18" x14ac:dyDescent="0.3">
      <c r="B16" s="121" t="str">
        <f>'Prog. veniturilor'!B43:C43</f>
        <v>Alte venituri</v>
      </c>
      <c r="C16" s="125" t="s">
        <v>16</v>
      </c>
      <c r="D16" s="131">
        <f>'Prog. veniturilor'!E43</f>
        <v>0</v>
      </c>
      <c r="E16" s="131">
        <f>'Prog. veniturilor'!F43</f>
        <v>0</v>
      </c>
      <c r="F16" s="131">
        <f>'Prog. veniturilor'!G43</f>
        <v>0</v>
      </c>
      <c r="G16" s="131">
        <f>'Prog. veniturilor'!H43</f>
        <v>0</v>
      </c>
      <c r="H16" s="131">
        <f>'Prog. veniturilor'!I43</f>
        <v>0</v>
      </c>
      <c r="I16" s="131">
        <f>'Prog. veniturilor'!J43</f>
        <v>0</v>
      </c>
      <c r="J16" s="131">
        <f>'Prog. veniturilor'!K43</f>
        <v>0</v>
      </c>
      <c r="K16" s="131">
        <f>'Prog. veniturilor'!L43</f>
        <v>0</v>
      </c>
      <c r="L16" s="131">
        <f>'Prog. veniturilor'!M43</f>
        <v>0</v>
      </c>
      <c r="M16" s="131">
        <f>'Prog. veniturilor'!N43</f>
        <v>0</v>
      </c>
      <c r="N16" s="131">
        <f>'Prog. veniturilor'!O43</f>
        <v>0</v>
      </c>
      <c r="O16" s="131">
        <f>'Prog. veniturilor'!P43</f>
        <v>0</v>
      </c>
      <c r="P16" s="127">
        <f t="shared" si="0"/>
        <v>0</v>
      </c>
      <c r="Q16" s="127">
        <f>'Prog. veniturilor'!R43</f>
        <v>0</v>
      </c>
      <c r="R16" s="127">
        <f>'Prog. veniturilor'!S43</f>
        <v>0</v>
      </c>
    </row>
    <row r="17" spans="2:18" x14ac:dyDescent="0.3">
      <c r="B17" s="139" t="s">
        <v>60</v>
      </c>
      <c r="C17" s="120" t="s">
        <v>16</v>
      </c>
      <c r="D17" s="141">
        <f>D14+D15+D16</f>
        <v>22000</v>
      </c>
      <c r="E17" s="141">
        <f>E14+E15+E16</f>
        <v>22833</v>
      </c>
      <c r="F17" s="141">
        <f t="shared" ref="F17:N17" si="1">F14+F15+F16</f>
        <v>22833</v>
      </c>
      <c r="G17" s="141">
        <f t="shared" si="1"/>
        <v>22833</v>
      </c>
      <c r="H17" s="141">
        <f t="shared" si="1"/>
        <v>22833</v>
      </c>
      <c r="I17" s="141">
        <f t="shared" si="1"/>
        <v>22833</v>
      </c>
      <c r="J17" s="141">
        <f t="shared" si="1"/>
        <v>22833</v>
      </c>
      <c r="K17" s="141">
        <f t="shared" si="1"/>
        <v>22833</v>
      </c>
      <c r="L17" s="141">
        <f t="shared" si="1"/>
        <v>22833</v>
      </c>
      <c r="M17" s="141">
        <f t="shared" si="1"/>
        <v>22833</v>
      </c>
      <c r="N17" s="141">
        <f t="shared" si="1"/>
        <v>22833</v>
      </c>
      <c r="O17" s="141">
        <f>O14+O15+O16</f>
        <v>22833</v>
      </c>
      <c r="P17" s="141">
        <f t="shared" ref="P17:R17" si="2">P14+P15+P16</f>
        <v>273163</v>
      </c>
      <c r="Q17" s="141">
        <f t="shared" si="2"/>
        <v>289163</v>
      </c>
      <c r="R17" s="141">
        <f t="shared" si="2"/>
        <v>299163</v>
      </c>
    </row>
    <row r="18" spans="2:18" x14ac:dyDescent="0.3">
      <c r="B18" s="279" t="s">
        <v>61</v>
      </c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</row>
    <row r="19" spans="2:18" x14ac:dyDescent="0.3">
      <c r="B19" s="121" t="s">
        <v>62</v>
      </c>
      <c r="C19" s="125" t="s">
        <v>16</v>
      </c>
      <c r="D19" s="131">
        <f>'Prog. veniturilor'!E68</f>
        <v>11000</v>
      </c>
      <c r="E19" s="131">
        <f>'Prog. veniturilor'!F68</f>
        <v>11000</v>
      </c>
      <c r="F19" s="131">
        <f>'Prog. veniturilor'!G68</f>
        <v>11000</v>
      </c>
      <c r="G19" s="131">
        <f>'Prog. veniturilor'!H68</f>
        <v>11000</v>
      </c>
      <c r="H19" s="131">
        <f>'Prog. veniturilor'!I68</f>
        <v>11000</v>
      </c>
      <c r="I19" s="131">
        <f>'Prog. veniturilor'!J68</f>
        <v>11000</v>
      </c>
      <c r="J19" s="131">
        <f>'Prog. veniturilor'!K68</f>
        <v>11000</v>
      </c>
      <c r="K19" s="131">
        <f>'Prog. veniturilor'!L68</f>
        <v>11000</v>
      </c>
      <c r="L19" s="131">
        <f>'Prog. veniturilor'!M68</f>
        <v>11000</v>
      </c>
      <c r="M19" s="131">
        <f>'Prog. veniturilor'!N68</f>
        <v>11000</v>
      </c>
      <c r="N19" s="131">
        <f>'Prog. veniturilor'!O68</f>
        <v>11000</v>
      </c>
      <c r="O19" s="131">
        <f>'Prog. veniturilor'!P68</f>
        <v>11000</v>
      </c>
      <c r="P19" s="127">
        <f t="shared" si="0"/>
        <v>132000</v>
      </c>
      <c r="Q19" s="127">
        <f>'Prog. veniturilor'!R68</f>
        <v>140000</v>
      </c>
      <c r="R19" s="127">
        <f>'Prog. veniturilor'!S68</f>
        <v>145000</v>
      </c>
    </row>
    <row r="20" spans="2:18" x14ac:dyDescent="0.3">
      <c r="B20" s="121" t="str">
        <f>'Prog. ch. fixe'!B14</f>
        <v>Cheltuieli cu materiile prime si cu materialele consumabile</v>
      </c>
      <c r="C20" s="125" t="s">
        <v>16</v>
      </c>
      <c r="D20" s="131">
        <f>'Prog. ch. fixe'!D14</f>
        <v>0</v>
      </c>
      <c r="E20" s="131">
        <f>'Prog. ch. fixe'!E14</f>
        <v>0</v>
      </c>
      <c r="F20" s="131">
        <f>'Prog. ch. fixe'!F14</f>
        <v>0</v>
      </c>
      <c r="G20" s="131">
        <f>'Prog. ch. fixe'!G14</f>
        <v>0</v>
      </c>
      <c r="H20" s="131">
        <f>'Prog. ch. fixe'!H14</f>
        <v>0</v>
      </c>
      <c r="I20" s="131">
        <f>'Prog. ch. fixe'!I14</f>
        <v>0</v>
      </c>
      <c r="J20" s="131">
        <f>'Prog. ch. fixe'!J14</f>
        <v>0</v>
      </c>
      <c r="K20" s="131">
        <f>'Prog. ch. fixe'!K14</f>
        <v>0</v>
      </c>
      <c r="L20" s="131">
        <f>'Prog. ch. fixe'!L14</f>
        <v>0</v>
      </c>
      <c r="M20" s="131">
        <f>'Prog. ch. fixe'!M14</f>
        <v>0</v>
      </c>
      <c r="N20" s="131">
        <f>'Prog. ch. fixe'!N14</f>
        <v>0</v>
      </c>
      <c r="O20" s="131">
        <f>'Prog. ch. fixe'!O14</f>
        <v>0</v>
      </c>
      <c r="P20" s="127">
        <f t="shared" si="0"/>
        <v>0</v>
      </c>
      <c r="Q20" s="127">
        <f>'Prog. ch. fixe'!R14</f>
        <v>0</v>
      </c>
      <c r="R20" s="127">
        <f>'Prog. ch. fixe'!T14</f>
        <v>0</v>
      </c>
    </row>
    <row r="21" spans="2:18" x14ac:dyDescent="0.3">
      <c r="B21" s="121" t="str">
        <f>'Prog. ch. fixe'!B15</f>
        <v>Alte cheltuieli materiale</v>
      </c>
      <c r="C21" s="125" t="s">
        <v>16</v>
      </c>
      <c r="D21" s="131">
        <f>'Prog. ch. fixe'!D15</f>
        <v>500</v>
      </c>
      <c r="E21" s="131">
        <f>'Prog. ch. fixe'!E15</f>
        <v>500</v>
      </c>
      <c r="F21" s="131">
        <f>'Prog. ch. fixe'!F15</f>
        <v>500</v>
      </c>
      <c r="G21" s="131">
        <f>'Prog. ch. fixe'!G15</f>
        <v>500</v>
      </c>
      <c r="H21" s="131">
        <f>'Prog. ch. fixe'!H15</f>
        <v>500</v>
      </c>
      <c r="I21" s="131">
        <f>'Prog. ch. fixe'!I15</f>
        <v>500</v>
      </c>
      <c r="J21" s="131">
        <f>'Prog. ch. fixe'!J15</f>
        <v>500</v>
      </c>
      <c r="K21" s="131">
        <f>'Prog. ch. fixe'!K15</f>
        <v>500</v>
      </c>
      <c r="L21" s="131">
        <f>'Prog. ch. fixe'!L15</f>
        <v>500</v>
      </c>
      <c r="M21" s="131">
        <f>'Prog. ch. fixe'!M15</f>
        <v>500</v>
      </c>
      <c r="N21" s="131">
        <f>'Prog. ch. fixe'!N15</f>
        <v>500</v>
      </c>
      <c r="O21" s="131">
        <f>'Prog. ch. fixe'!O15</f>
        <v>500</v>
      </c>
      <c r="P21" s="127">
        <f t="shared" si="0"/>
        <v>6000</v>
      </c>
      <c r="Q21" s="127">
        <f>'Prog. ch. fixe'!R15</f>
        <v>6000</v>
      </c>
      <c r="R21" s="127">
        <f>'Prog. ch. fixe'!T15</f>
        <v>6000</v>
      </c>
    </row>
    <row r="22" spans="2:18" x14ac:dyDescent="0.3">
      <c r="B22" s="121" t="str">
        <f>'Prog. ch. fixe'!B16</f>
        <v>Cheltuieli legate de sediu</v>
      </c>
      <c r="C22" s="125" t="s">
        <v>16</v>
      </c>
      <c r="D22" s="131">
        <f>'Prog. ch. fixe'!D16</f>
        <v>1600</v>
      </c>
      <c r="E22" s="131">
        <f>'Prog. ch. fixe'!E16</f>
        <v>1600</v>
      </c>
      <c r="F22" s="131">
        <f>'Prog. ch. fixe'!F16</f>
        <v>1600</v>
      </c>
      <c r="G22" s="131">
        <f>'Prog. ch. fixe'!G16</f>
        <v>1600</v>
      </c>
      <c r="H22" s="131">
        <f>'Prog. ch. fixe'!H16</f>
        <v>1600</v>
      </c>
      <c r="I22" s="131">
        <f>'Prog. ch. fixe'!I16</f>
        <v>1600</v>
      </c>
      <c r="J22" s="131">
        <f>'Prog. ch. fixe'!J16</f>
        <v>1600</v>
      </c>
      <c r="K22" s="131">
        <f>'Prog. ch. fixe'!K16</f>
        <v>1600</v>
      </c>
      <c r="L22" s="131">
        <f>'Prog. ch. fixe'!L16</f>
        <v>1600</v>
      </c>
      <c r="M22" s="131">
        <f>'Prog. ch. fixe'!M16</f>
        <v>1600</v>
      </c>
      <c r="N22" s="131">
        <f>'Prog. ch. fixe'!N16</f>
        <v>1600</v>
      </c>
      <c r="O22" s="131">
        <f>'Prog. ch. fixe'!O16</f>
        <v>1600</v>
      </c>
      <c r="P22" s="127">
        <f t="shared" si="0"/>
        <v>19200</v>
      </c>
      <c r="Q22" s="127">
        <f>'Prog. ch. fixe'!R16</f>
        <v>19200</v>
      </c>
      <c r="R22" s="127">
        <f>'Prog. ch. fixe'!T16</f>
        <v>19200</v>
      </c>
    </row>
    <row r="23" spans="2:18" x14ac:dyDescent="0.3">
      <c r="B23" s="121" t="str">
        <f>'Prog. ch. fixe'!B19</f>
        <v>Cheltuieli personale - total</v>
      </c>
      <c r="C23" s="125" t="s">
        <v>16</v>
      </c>
      <c r="D23" s="131">
        <f>'Prog. ch. fixe'!D19</f>
        <v>3137.4</v>
      </c>
      <c r="E23" s="131">
        <f>'Prog. ch. fixe'!E19</f>
        <v>3137.4</v>
      </c>
      <c r="F23" s="131">
        <f>'Prog. ch. fixe'!F19</f>
        <v>3137.4</v>
      </c>
      <c r="G23" s="131">
        <f>'Prog. ch. fixe'!G19</f>
        <v>6274.8</v>
      </c>
      <c r="H23" s="131">
        <f>'Prog. ch. fixe'!H19</f>
        <v>6274.8</v>
      </c>
      <c r="I23" s="131">
        <f>'Prog. ch. fixe'!I19</f>
        <v>6274.8</v>
      </c>
      <c r="J23" s="131">
        <f>'Prog. ch. fixe'!J19</f>
        <v>6274.8</v>
      </c>
      <c r="K23" s="131">
        <f>'Prog. ch. fixe'!K19</f>
        <v>6274.8</v>
      </c>
      <c r="L23" s="131">
        <f>'Prog. ch. fixe'!L19</f>
        <v>6274.8</v>
      </c>
      <c r="M23" s="131">
        <f>'Prog. ch. fixe'!M19</f>
        <v>6274.8</v>
      </c>
      <c r="N23" s="131">
        <f>'Prog. ch. fixe'!N19</f>
        <v>6274.8</v>
      </c>
      <c r="O23" s="131">
        <f>'Prog. ch. fixe'!O19</f>
        <v>6274.8</v>
      </c>
      <c r="P23" s="127">
        <f t="shared" si="0"/>
        <v>65885.400000000009</v>
      </c>
      <c r="Q23" s="127">
        <f>'Prog. ch. fixe'!R19</f>
        <v>75297.600000000006</v>
      </c>
      <c r="R23" s="127">
        <f>'Prog. ch. fixe'!T19</f>
        <v>75297.600000000006</v>
      </c>
    </row>
    <row r="24" spans="2:18" x14ac:dyDescent="0.3">
      <c r="B24" s="121" t="str">
        <f>'Prog. ch. fixe'!B22</f>
        <v>Cheltuieli de marketing</v>
      </c>
      <c r="C24" s="125" t="s">
        <v>16</v>
      </c>
      <c r="D24" s="131">
        <f>'Prog. ch. fixe'!D22</f>
        <v>1000</v>
      </c>
      <c r="E24" s="131">
        <f>'Prog. ch. fixe'!E22</f>
        <v>1000</v>
      </c>
      <c r="F24" s="131">
        <f>'Prog. ch. fixe'!F22</f>
        <v>1000</v>
      </c>
      <c r="G24" s="131">
        <f>'Prog. ch. fixe'!G22</f>
        <v>1000</v>
      </c>
      <c r="H24" s="131">
        <f>'Prog. ch. fixe'!H22</f>
        <v>1000</v>
      </c>
      <c r="I24" s="131">
        <f>'Prog. ch. fixe'!I22</f>
        <v>1000</v>
      </c>
      <c r="J24" s="131">
        <f>'Prog. ch. fixe'!J22</f>
        <v>1000</v>
      </c>
      <c r="K24" s="131">
        <f>'Prog. ch. fixe'!K22</f>
        <v>1000</v>
      </c>
      <c r="L24" s="131">
        <f>'Prog. ch. fixe'!L22</f>
        <v>1000</v>
      </c>
      <c r="M24" s="131">
        <f>'Prog. ch. fixe'!M22</f>
        <v>1000</v>
      </c>
      <c r="N24" s="131">
        <f>'Prog. ch. fixe'!N22</f>
        <v>1000</v>
      </c>
      <c r="O24" s="131">
        <f>'Prog. ch. fixe'!O22</f>
        <v>1000</v>
      </c>
      <c r="P24" s="127">
        <f t="shared" si="0"/>
        <v>12000</v>
      </c>
      <c r="Q24" s="127">
        <f>'Prog. ch. fixe'!R22</f>
        <v>12000</v>
      </c>
      <c r="R24" s="127">
        <f>'Prog. ch. fixe'!T22</f>
        <v>12000</v>
      </c>
    </row>
    <row r="25" spans="2:18" x14ac:dyDescent="0.3">
      <c r="B25" s="121" t="str">
        <f>'Prog. ch. fixe'!B23</f>
        <v>Cheltuieli privind prestățiile externe</v>
      </c>
      <c r="C25" s="125" t="s">
        <v>16</v>
      </c>
      <c r="D25" s="131">
        <f>'Prog. ch. fixe'!D23-'Prog. ch. fixe'!D26</f>
        <v>500</v>
      </c>
      <c r="E25" s="131">
        <f>'Prog. ch. fixe'!E23-'Prog. ch. fixe'!E26</f>
        <v>500</v>
      </c>
      <c r="F25" s="131">
        <f>'Prog. ch. fixe'!F23-'Prog. ch. fixe'!F26</f>
        <v>500</v>
      </c>
      <c r="G25" s="131">
        <f>'Prog. ch. fixe'!G23-'Prog. ch. fixe'!G26</f>
        <v>500</v>
      </c>
      <c r="H25" s="131">
        <f>'Prog. ch. fixe'!H23-'Prog. ch. fixe'!H26</f>
        <v>500</v>
      </c>
      <c r="I25" s="131">
        <f>'Prog. ch. fixe'!I23-'Prog. ch. fixe'!I26</f>
        <v>500</v>
      </c>
      <c r="J25" s="131">
        <f>'Prog. ch. fixe'!J23-'Prog. ch. fixe'!J26</f>
        <v>500</v>
      </c>
      <c r="K25" s="131">
        <f>'Prog. ch. fixe'!K23-'Prog. ch. fixe'!K26</f>
        <v>500</v>
      </c>
      <c r="L25" s="131">
        <f>'Prog. ch. fixe'!L23-'Prog. ch. fixe'!L26</f>
        <v>500</v>
      </c>
      <c r="M25" s="131">
        <f>'Prog. ch. fixe'!M23-'Prog. ch. fixe'!M26</f>
        <v>500</v>
      </c>
      <c r="N25" s="131">
        <f>'Prog. ch. fixe'!N23-'Prog. ch. fixe'!N26</f>
        <v>500</v>
      </c>
      <c r="O25" s="131">
        <f>'Prog. ch. fixe'!O23-'Prog. ch. fixe'!O26</f>
        <v>500</v>
      </c>
      <c r="P25" s="127">
        <f t="shared" si="0"/>
        <v>6000</v>
      </c>
      <c r="Q25" s="127">
        <f>'Prog. ch. fixe'!R23-'Prog. ch. fixe'!R26</f>
        <v>6000</v>
      </c>
      <c r="R25" s="127">
        <f>'Prog. ch. fixe'!T23-'Prog. ch. fixe'!T26</f>
        <v>6000</v>
      </c>
    </row>
    <row r="26" spans="2:18" x14ac:dyDescent="0.3">
      <c r="B26" s="121" t="str">
        <f>'Prog. ch. fixe'!B28</f>
        <v>Cheltuieli cu amortizăriile</v>
      </c>
      <c r="C26" s="125" t="s">
        <v>16</v>
      </c>
      <c r="D26" s="131">
        <f>'Prog. ch. fixe'!D28</f>
        <v>0</v>
      </c>
      <c r="E26" s="131">
        <f>'Prog. ch. fixe'!E28</f>
        <v>833</v>
      </c>
      <c r="F26" s="131">
        <f>'Prog. ch. fixe'!F28</f>
        <v>833</v>
      </c>
      <c r="G26" s="131">
        <f>'Prog. ch. fixe'!G28</f>
        <v>833</v>
      </c>
      <c r="H26" s="131">
        <f>'Prog. ch. fixe'!H28</f>
        <v>833</v>
      </c>
      <c r="I26" s="131">
        <f>'Prog. ch. fixe'!I28</f>
        <v>833</v>
      </c>
      <c r="J26" s="131">
        <f>'Prog. ch. fixe'!J28</f>
        <v>833</v>
      </c>
      <c r="K26" s="131">
        <f>'Prog. ch. fixe'!K28</f>
        <v>833</v>
      </c>
      <c r="L26" s="131">
        <f>'Prog. ch. fixe'!L28</f>
        <v>833</v>
      </c>
      <c r="M26" s="131">
        <f>'Prog. ch. fixe'!M28</f>
        <v>833</v>
      </c>
      <c r="N26" s="131">
        <f>'Prog. ch. fixe'!N28</f>
        <v>833</v>
      </c>
      <c r="O26" s="131">
        <f>'Prog. ch. fixe'!O28</f>
        <v>833</v>
      </c>
      <c r="P26" s="127">
        <f t="shared" si="0"/>
        <v>9163</v>
      </c>
      <c r="Q26" s="127">
        <f>'Prog. ch. fixe'!R28</f>
        <v>9163</v>
      </c>
      <c r="R26" s="127">
        <f>'Prog. ch. fixe'!T28</f>
        <v>9163</v>
      </c>
    </row>
    <row r="27" spans="2:18" x14ac:dyDescent="0.3">
      <c r="B27" s="121" t="str">
        <f>'Prog. ch. fixe'!B29</f>
        <v>Alte cheltuieli de exploatare</v>
      </c>
      <c r="C27" s="125" t="s">
        <v>16</v>
      </c>
      <c r="D27" s="131">
        <f>'Prog. ch. fixe'!D29</f>
        <v>339.37</v>
      </c>
      <c r="E27" s="131">
        <f>'Prog. ch. fixe'!E29</f>
        <v>381.02</v>
      </c>
      <c r="F27" s="131">
        <f>'Prog. ch. fixe'!F29</f>
        <v>381.02</v>
      </c>
      <c r="G27" s="131">
        <f>'Prog. ch. fixe'!G29</f>
        <v>537.89</v>
      </c>
      <c r="H27" s="131">
        <f>'Prog. ch. fixe'!H29</f>
        <v>537.89</v>
      </c>
      <c r="I27" s="131">
        <f>'Prog. ch. fixe'!I29</f>
        <v>537.89</v>
      </c>
      <c r="J27" s="131">
        <f>'Prog. ch. fixe'!J29</f>
        <v>537.89</v>
      </c>
      <c r="K27" s="131">
        <f>'Prog. ch. fixe'!K29</f>
        <v>537.89</v>
      </c>
      <c r="L27" s="131">
        <f>'Prog. ch. fixe'!L29</f>
        <v>537.89</v>
      </c>
      <c r="M27" s="131">
        <f>'Prog. ch. fixe'!M29</f>
        <v>537.89</v>
      </c>
      <c r="N27" s="131">
        <f>'Prog. ch. fixe'!N29</f>
        <v>537.89</v>
      </c>
      <c r="O27" s="131">
        <f>'Prog. ch. fixe'!O29</f>
        <v>537.89</v>
      </c>
      <c r="P27" s="127">
        <f t="shared" si="0"/>
        <v>5942.42</v>
      </c>
      <c r="Q27" s="127">
        <f>'Prog. ch. fixe'!R29</f>
        <v>6413.03</v>
      </c>
      <c r="R27" s="127">
        <f>'Prog. ch. fixe'!T29</f>
        <v>6413.03</v>
      </c>
    </row>
    <row r="28" spans="2:18" x14ac:dyDescent="0.3">
      <c r="B28" s="139" t="s">
        <v>63</v>
      </c>
      <c r="C28" s="120" t="s">
        <v>16</v>
      </c>
      <c r="D28" s="141">
        <f>SUM(D19:D27)</f>
        <v>18076.77</v>
      </c>
      <c r="E28" s="141">
        <f t="shared" ref="E28:R28" si="3">SUM(E19:E27)</f>
        <v>18951.420000000002</v>
      </c>
      <c r="F28" s="141">
        <f t="shared" si="3"/>
        <v>18951.420000000002</v>
      </c>
      <c r="G28" s="141">
        <f t="shared" si="3"/>
        <v>22245.69</v>
      </c>
      <c r="H28" s="141">
        <f t="shared" si="3"/>
        <v>22245.69</v>
      </c>
      <c r="I28" s="141">
        <f t="shared" si="3"/>
        <v>22245.69</v>
      </c>
      <c r="J28" s="141">
        <f t="shared" si="3"/>
        <v>22245.69</v>
      </c>
      <c r="K28" s="141">
        <f t="shared" si="3"/>
        <v>22245.69</v>
      </c>
      <c r="L28" s="141">
        <f t="shared" si="3"/>
        <v>22245.69</v>
      </c>
      <c r="M28" s="141">
        <f t="shared" si="3"/>
        <v>22245.69</v>
      </c>
      <c r="N28" s="141">
        <f t="shared" si="3"/>
        <v>22245.69</v>
      </c>
      <c r="O28" s="141">
        <f t="shared" si="3"/>
        <v>22245.69</v>
      </c>
      <c r="P28" s="141">
        <f t="shared" si="3"/>
        <v>256190.82000000004</v>
      </c>
      <c r="Q28" s="141">
        <f t="shared" si="3"/>
        <v>274073.63</v>
      </c>
      <c r="R28" s="141">
        <f t="shared" si="3"/>
        <v>279073.63</v>
      </c>
    </row>
    <row r="29" spans="2:18" x14ac:dyDescent="0.3">
      <c r="B29" s="139" t="s">
        <v>64</v>
      </c>
      <c r="C29" s="120" t="s">
        <v>16</v>
      </c>
      <c r="D29" s="141">
        <f>D17-D28</f>
        <v>3923.2299999999996</v>
      </c>
      <c r="E29" s="141">
        <f t="shared" ref="E29:R29" si="4">E17-E28</f>
        <v>3881.5799999999981</v>
      </c>
      <c r="F29" s="141">
        <f t="shared" si="4"/>
        <v>3881.5799999999981</v>
      </c>
      <c r="G29" s="141">
        <f t="shared" si="4"/>
        <v>587.31000000000131</v>
      </c>
      <c r="H29" s="141">
        <f t="shared" si="4"/>
        <v>587.31000000000131</v>
      </c>
      <c r="I29" s="141">
        <f t="shared" si="4"/>
        <v>587.31000000000131</v>
      </c>
      <c r="J29" s="141">
        <f t="shared" si="4"/>
        <v>587.31000000000131</v>
      </c>
      <c r="K29" s="141">
        <f t="shared" si="4"/>
        <v>587.31000000000131</v>
      </c>
      <c r="L29" s="141">
        <f t="shared" si="4"/>
        <v>587.31000000000131</v>
      </c>
      <c r="M29" s="141">
        <f t="shared" si="4"/>
        <v>587.31000000000131</v>
      </c>
      <c r="N29" s="141">
        <f t="shared" si="4"/>
        <v>587.31000000000131</v>
      </c>
      <c r="O29" s="141">
        <f t="shared" si="4"/>
        <v>587.31000000000131</v>
      </c>
      <c r="P29" s="141">
        <f t="shared" si="4"/>
        <v>16972.179999999964</v>
      </c>
      <c r="Q29" s="141">
        <f t="shared" si="4"/>
        <v>15089.369999999995</v>
      </c>
      <c r="R29" s="141">
        <f t="shared" si="4"/>
        <v>20089.369999999995</v>
      </c>
    </row>
    <row r="30" spans="2:18" ht="15" thickBot="1" x14ac:dyDescent="0.35">
      <c r="B30" s="279" t="s">
        <v>67</v>
      </c>
      <c r="C30" s="279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79"/>
      <c r="Q30" s="282"/>
      <c r="R30" s="282"/>
    </row>
    <row r="31" spans="2:18" ht="15.6" thickTop="1" thickBot="1" x14ac:dyDescent="0.35">
      <c r="B31" s="121" t="s">
        <v>65</v>
      </c>
      <c r="C31" s="122" t="s">
        <v>16</v>
      </c>
      <c r="D31" s="161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3"/>
      <c r="P31" s="123">
        <f t="shared" ref="P31:P33" si="5">SUM(D31:O31)</f>
        <v>0</v>
      </c>
      <c r="Q31" s="179"/>
      <c r="R31" s="180"/>
    </row>
    <row r="32" spans="2:18" ht="15" thickTop="1" x14ac:dyDescent="0.3">
      <c r="B32" s="121" t="s">
        <v>66</v>
      </c>
      <c r="C32" s="125" t="s">
        <v>16</v>
      </c>
      <c r="D32" s="129">
        <f>'Prog. ch. fixe'!D26</f>
        <v>50</v>
      </c>
      <c r="E32" s="129">
        <f>'Prog. ch. fixe'!E26</f>
        <v>50</v>
      </c>
      <c r="F32" s="129">
        <f>'Prog. ch. fixe'!F26</f>
        <v>50</v>
      </c>
      <c r="G32" s="129">
        <f>'Prog. ch. fixe'!G26</f>
        <v>50</v>
      </c>
      <c r="H32" s="129">
        <f>'Prog. ch. fixe'!H26</f>
        <v>50</v>
      </c>
      <c r="I32" s="129">
        <f>'Prog. ch. fixe'!I26</f>
        <v>50</v>
      </c>
      <c r="J32" s="129">
        <f>'Prog. ch. fixe'!J26</f>
        <v>50</v>
      </c>
      <c r="K32" s="129">
        <f>'Prog. ch. fixe'!K26</f>
        <v>50</v>
      </c>
      <c r="L32" s="129">
        <f>'Prog. ch. fixe'!L26</f>
        <v>50</v>
      </c>
      <c r="M32" s="129">
        <f>'Prog. ch. fixe'!M26</f>
        <v>50</v>
      </c>
      <c r="N32" s="129">
        <f>'Prog. ch. fixe'!N26</f>
        <v>50</v>
      </c>
      <c r="O32" s="129">
        <f>'Prog. ch. fixe'!O26</f>
        <v>50</v>
      </c>
      <c r="P32" s="127">
        <f t="shared" si="5"/>
        <v>600</v>
      </c>
      <c r="Q32" s="177">
        <f>'Prog. ch. fixe'!R26</f>
        <v>600</v>
      </c>
      <c r="R32" s="177">
        <f>'Prog. ch. fixe'!T26</f>
        <v>600</v>
      </c>
    </row>
    <row r="33" spans="2:18" x14ac:dyDescent="0.3">
      <c r="B33" s="121" t="str">
        <f>'Prog. ch. fixe'!B35</f>
        <v>Cheltuieli privind dobânziile</v>
      </c>
      <c r="C33" s="125" t="s">
        <v>16</v>
      </c>
      <c r="D33" s="131">
        <f>'Prog. ch. fixe'!D35</f>
        <v>0</v>
      </c>
      <c r="E33" s="131">
        <f>'Prog. ch. fixe'!E35</f>
        <v>0</v>
      </c>
      <c r="F33" s="131">
        <f>'Prog. ch. fixe'!F35</f>
        <v>0</v>
      </c>
      <c r="G33" s="131">
        <f>'Prog. ch. fixe'!G35</f>
        <v>0</v>
      </c>
      <c r="H33" s="131">
        <f>'Prog. ch. fixe'!H35</f>
        <v>0</v>
      </c>
      <c r="I33" s="131">
        <f>'Prog. ch. fixe'!I35</f>
        <v>0</v>
      </c>
      <c r="J33" s="131">
        <f>'Prog. ch. fixe'!J35</f>
        <v>0</v>
      </c>
      <c r="K33" s="131">
        <f>'Prog. ch. fixe'!K35</f>
        <v>0</v>
      </c>
      <c r="L33" s="131">
        <f>'Prog. ch. fixe'!L35</f>
        <v>0</v>
      </c>
      <c r="M33" s="131">
        <f>'Prog. ch. fixe'!M35</f>
        <v>0</v>
      </c>
      <c r="N33" s="131">
        <f>'Prog. ch. fixe'!N35</f>
        <v>0</v>
      </c>
      <c r="O33" s="131">
        <f>'Prog. ch. fixe'!O35</f>
        <v>0</v>
      </c>
      <c r="P33" s="127">
        <f t="shared" si="5"/>
        <v>0</v>
      </c>
      <c r="Q33" s="127">
        <f>'Prog. ch. fixe'!R35</f>
        <v>0</v>
      </c>
      <c r="R33" s="127">
        <f>'Prog. ch. fixe'!T35</f>
        <v>0</v>
      </c>
    </row>
    <row r="34" spans="2:18" x14ac:dyDescent="0.3">
      <c r="B34" s="139" t="s">
        <v>68</v>
      </c>
      <c r="C34" s="120" t="s">
        <v>16</v>
      </c>
      <c r="D34" s="141">
        <f>D31-D32-D33</f>
        <v>-50</v>
      </c>
      <c r="E34" s="141">
        <f t="shared" ref="E34:R34" si="6">E31-E32-E33</f>
        <v>-50</v>
      </c>
      <c r="F34" s="141">
        <f t="shared" si="6"/>
        <v>-50</v>
      </c>
      <c r="G34" s="141">
        <f t="shared" si="6"/>
        <v>-50</v>
      </c>
      <c r="H34" s="141">
        <f t="shared" si="6"/>
        <v>-50</v>
      </c>
      <c r="I34" s="141">
        <f t="shared" si="6"/>
        <v>-50</v>
      </c>
      <c r="J34" s="141">
        <f t="shared" si="6"/>
        <v>-50</v>
      </c>
      <c r="K34" s="141">
        <f t="shared" si="6"/>
        <v>-50</v>
      </c>
      <c r="L34" s="141">
        <f t="shared" si="6"/>
        <v>-50</v>
      </c>
      <c r="M34" s="141">
        <f t="shared" si="6"/>
        <v>-50</v>
      </c>
      <c r="N34" s="141">
        <f t="shared" si="6"/>
        <v>-50</v>
      </c>
      <c r="O34" s="141">
        <f t="shared" si="6"/>
        <v>-50</v>
      </c>
      <c r="P34" s="141">
        <f t="shared" si="6"/>
        <v>-600</v>
      </c>
      <c r="Q34" s="141">
        <f t="shared" si="6"/>
        <v>-600</v>
      </c>
      <c r="R34" s="141">
        <f t="shared" si="6"/>
        <v>-600</v>
      </c>
    </row>
    <row r="35" spans="2:18" x14ac:dyDescent="0.3">
      <c r="B35" s="279" t="s">
        <v>70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</row>
    <row r="36" spans="2:18" x14ac:dyDescent="0.3">
      <c r="B36" s="139" t="s">
        <v>69</v>
      </c>
      <c r="C36" s="120" t="s">
        <v>16</v>
      </c>
      <c r="D36" s="141">
        <f t="shared" ref="D36:R36" si="7">D29+D34</f>
        <v>3873.2299999999996</v>
      </c>
      <c r="E36" s="141">
        <f t="shared" si="7"/>
        <v>3831.5799999999981</v>
      </c>
      <c r="F36" s="141">
        <f t="shared" si="7"/>
        <v>3831.5799999999981</v>
      </c>
      <c r="G36" s="141">
        <f t="shared" si="7"/>
        <v>537.31000000000131</v>
      </c>
      <c r="H36" s="141">
        <f t="shared" si="7"/>
        <v>537.31000000000131</v>
      </c>
      <c r="I36" s="141">
        <f t="shared" si="7"/>
        <v>537.31000000000131</v>
      </c>
      <c r="J36" s="141">
        <f t="shared" si="7"/>
        <v>537.31000000000131</v>
      </c>
      <c r="K36" s="141">
        <f t="shared" si="7"/>
        <v>537.31000000000131</v>
      </c>
      <c r="L36" s="141">
        <f t="shared" si="7"/>
        <v>537.31000000000131</v>
      </c>
      <c r="M36" s="141">
        <f t="shared" si="7"/>
        <v>537.31000000000131</v>
      </c>
      <c r="N36" s="141">
        <f t="shared" si="7"/>
        <v>537.31000000000131</v>
      </c>
      <c r="O36" s="141">
        <f t="shared" si="7"/>
        <v>537.31000000000131</v>
      </c>
      <c r="P36" s="141">
        <f t="shared" si="7"/>
        <v>16372.179999999964</v>
      </c>
      <c r="Q36" s="141">
        <f t="shared" si="7"/>
        <v>14489.369999999995</v>
      </c>
      <c r="R36" s="141">
        <f t="shared" si="7"/>
        <v>19489.369999999995</v>
      </c>
    </row>
    <row r="37" spans="2:18" x14ac:dyDescent="0.3">
      <c r="B37" s="121" t="s">
        <v>71</v>
      </c>
      <c r="C37" s="125" t="s">
        <v>16</v>
      </c>
      <c r="D37" s="131">
        <f>ROUND(D17*1%,2)</f>
        <v>220</v>
      </c>
      <c r="E37" s="131">
        <f t="shared" ref="E37:Q37" si="8">ROUND(E17*1%,2)</f>
        <v>228.33</v>
      </c>
      <c r="F37" s="131">
        <f t="shared" si="8"/>
        <v>228.33</v>
      </c>
      <c r="G37" s="131">
        <f t="shared" si="8"/>
        <v>228.33</v>
      </c>
      <c r="H37" s="131">
        <f t="shared" si="8"/>
        <v>228.33</v>
      </c>
      <c r="I37" s="131">
        <f t="shared" si="8"/>
        <v>228.33</v>
      </c>
      <c r="J37" s="131">
        <f t="shared" si="8"/>
        <v>228.33</v>
      </c>
      <c r="K37" s="131">
        <f t="shared" si="8"/>
        <v>228.33</v>
      </c>
      <c r="L37" s="131">
        <f t="shared" si="8"/>
        <v>228.33</v>
      </c>
      <c r="M37" s="131">
        <f t="shared" si="8"/>
        <v>228.33</v>
      </c>
      <c r="N37" s="131">
        <f t="shared" si="8"/>
        <v>228.33</v>
      </c>
      <c r="O37" s="131">
        <f>ROUND(O17*1%,2)</f>
        <v>228.33</v>
      </c>
      <c r="P37" s="127">
        <f t="shared" ref="P37" si="9">SUM(D37:O37)</f>
        <v>2731.6299999999997</v>
      </c>
      <c r="Q37" s="131">
        <f t="shared" si="8"/>
        <v>2891.63</v>
      </c>
      <c r="R37" s="131">
        <f>ROUND(R17*1%,2)</f>
        <v>2991.63</v>
      </c>
    </row>
    <row r="38" spans="2:18" x14ac:dyDescent="0.3">
      <c r="B38" s="139" t="s">
        <v>72</v>
      </c>
      <c r="C38" s="120" t="s">
        <v>16</v>
      </c>
      <c r="D38" s="141">
        <f>D36-D37</f>
        <v>3653.2299999999996</v>
      </c>
      <c r="E38" s="141">
        <f t="shared" ref="E38:Q38" si="10">E36-E37</f>
        <v>3603.2499999999982</v>
      </c>
      <c r="F38" s="141">
        <f t="shared" si="10"/>
        <v>3603.2499999999982</v>
      </c>
      <c r="G38" s="141">
        <f t="shared" si="10"/>
        <v>308.98000000000127</v>
      </c>
      <c r="H38" s="141">
        <f t="shared" si="10"/>
        <v>308.98000000000127</v>
      </c>
      <c r="I38" s="141">
        <f t="shared" si="10"/>
        <v>308.98000000000127</v>
      </c>
      <c r="J38" s="141">
        <f t="shared" si="10"/>
        <v>308.98000000000127</v>
      </c>
      <c r="K38" s="141">
        <f t="shared" si="10"/>
        <v>308.98000000000127</v>
      </c>
      <c r="L38" s="141">
        <f t="shared" si="10"/>
        <v>308.98000000000127</v>
      </c>
      <c r="M38" s="141">
        <f t="shared" si="10"/>
        <v>308.98000000000127</v>
      </c>
      <c r="N38" s="141">
        <f t="shared" si="10"/>
        <v>308.98000000000127</v>
      </c>
      <c r="O38" s="141">
        <f t="shared" si="10"/>
        <v>308.98000000000127</v>
      </c>
      <c r="P38" s="141">
        <f t="shared" si="10"/>
        <v>13640.549999999965</v>
      </c>
      <c r="Q38" s="141">
        <f t="shared" si="10"/>
        <v>11597.739999999994</v>
      </c>
      <c r="R38" s="141">
        <f>R36-R37</f>
        <v>16497.739999999994</v>
      </c>
    </row>
    <row r="40" spans="2:18" x14ac:dyDescent="0.3">
      <c r="C40" s="178"/>
    </row>
  </sheetData>
  <sheetProtection algorithmName="SHA-512" hashValue="JovAyHZfBAK80bZfDsMg7QLDfzQ+VxD2g4HtoQ0NryNUI7eHLmD32lTTdrANrsU/aR6Yg2O0nEJuGMWbPBUCFw==" saltValue="j2lJMMvotbePZH9/5EzSpA==" spinCount="100000" sheet="1" objects="1" scenarios="1"/>
  <mergeCells count="14">
    <mergeCell ref="B30:R30"/>
    <mergeCell ref="B35:R35"/>
    <mergeCell ref="R11:R12"/>
    <mergeCell ref="B13:R13"/>
    <mergeCell ref="B11:B12"/>
    <mergeCell ref="C11:C12"/>
    <mergeCell ref="D11:O11"/>
    <mergeCell ref="P11:P12"/>
    <mergeCell ref="Q11:Q12"/>
    <mergeCell ref="C6:F6"/>
    <mergeCell ref="C7:F7"/>
    <mergeCell ref="C8:F8"/>
    <mergeCell ref="C9:F9"/>
    <mergeCell ref="B18:R18"/>
  </mergeCells>
  <pageMargins left="0.25" right="0.25" top="0.75" bottom="0.75" header="0.3" footer="0.3"/>
  <pageSetup paperSize="9" scale="66" orientation="landscape" r:id="rId1"/>
  <ignoredErrors>
    <ignoredError sqref="C6:F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D4867-F9F0-4A4B-BF45-35120613CD99}">
  <sheetPr>
    <pageSetUpPr fitToPage="1"/>
  </sheetPr>
  <dimension ref="B6:R39"/>
  <sheetViews>
    <sheetView showGridLines="0" topLeftCell="A3" zoomScale="90" zoomScaleNormal="90" workbookViewId="0">
      <selection activeCell="O38" sqref="O38"/>
    </sheetView>
  </sheetViews>
  <sheetFormatPr defaultColWidth="9.109375" defaultRowHeight="14.4" x14ac:dyDescent="0.3"/>
  <cols>
    <col min="1" max="1" width="3.44140625" style="18" customWidth="1"/>
    <col min="2" max="2" width="38.109375" style="18" customWidth="1"/>
    <col min="3" max="3" width="9.109375" style="18"/>
    <col min="4" max="15" width="10.109375" style="18" customWidth="1"/>
    <col min="16" max="18" width="15.77734375" style="18" customWidth="1"/>
    <col min="19" max="16384" width="9.109375" style="18"/>
  </cols>
  <sheetData>
    <row r="6" spans="2:18" x14ac:dyDescent="0.3">
      <c r="B6" s="36" t="s">
        <v>130</v>
      </c>
      <c r="C6" s="270" t="str">
        <f>Centralizator!C6</f>
        <v>se completează pe pagina Centralizator</v>
      </c>
      <c r="D6" s="271"/>
      <c r="E6" s="271"/>
      <c r="F6" s="272"/>
    </row>
    <row r="7" spans="2:18" ht="14.25" customHeight="1" x14ac:dyDescent="0.3">
      <c r="B7" s="36" t="s">
        <v>131</v>
      </c>
      <c r="C7" s="270" t="str">
        <f>Centralizator!C7</f>
        <v>se completează pe pagina Centralizator</v>
      </c>
      <c r="D7" s="271"/>
      <c r="E7" s="271"/>
      <c r="F7" s="272"/>
    </row>
    <row r="8" spans="2:18" ht="14.25" customHeight="1" x14ac:dyDescent="0.3">
      <c r="B8" s="36" t="s">
        <v>132</v>
      </c>
      <c r="C8" s="270" t="str">
        <f>Centralizator!C8</f>
        <v>se completează pe pagina Centralizator</v>
      </c>
      <c r="D8" s="271"/>
      <c r="E8" s="271"/>
      <c r="F8" s="272"/>
    </row>
    <row r="9" spans="2:18" ht="14.25" customHeight="1" x14ac:dyDescent="0.3">
      <c r="B9" s="36" t="s">
        <v>133</v>
      </c>
      <c r="C9" s="270" t="str">
        <f>Centralizator!C9</f>
        <v>se completează pe pagina Centralizator</v>
      </c>
      <c r="D9" s="271"/>
      <c r="E9" s="271"/>
      <c r="F9" s="272"/>
    </row>
    <row r="11" spans="2:18" x14ac:dyDescent="0.3">
      <c r="B11" s="281" t="s">
        <v>7</v>
      </c>
      <c r="C11" s="281" t="s">
        <v>9</v>
      </c>
      <c r="D11" s="281" t="s">
        <v>10</v>
      </c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 t="s">
        <v>11</v>
      </c>
      <c r="Q11" s="281" t="s">
        <v>12</v>
      </c>
      <c r="R11" s="281" t="s">
        <v>13</v>
      </c>
    </row>
    <row r="12" spans="2:18" x14ac:dyDescent="0.3">
      <c r="B12" s="281"/>
      <c r="C12" s="281"/>
      <c r="D12" s="149" t="str">
        <f>CPP!D12</f>
        <v>Luna I.</v>
      </c>
      <c r="E12" s="149" t="str">
        <f>CPP!E12</f>
        <v>Luna II.</v>
      </c>
      <c r="F12" s="149" t="str">
        <f>CPP!F12</f>
        <v>Luna III.</v>
      </c>
      <c r="G12" s="149" t="str">
        <f>CPP!G12</f>
        <v>Luna IV.</v>
      </c>
      <c r="H12" s="149" t="str">
        <f>CPP!H12</f>
        <v>Luna V.</v>
      </c>
      <c r="I12" s="149" t="str">
        <f>CPP!I12</f>
        <v>Luna VI.</v>
      </c>
      <c r="J12" s="149" t="str">
        <f>CPP!J12</f>
        <v>Luna VII.</v>
      </c>
      <c r="K12" s="149" t="str">
        <f>CPP!K12</f>
        <v>Luna VIII.</v>
      </c>
      <c r="L12" s="149" t="str">
        <f>CPP!L12</f>
        <v>Luna IX.</v>
      </c>
      <c r="M12" s="149" t="str">
        <f>CPP!M12</f>
        <v>Luna X.</v>
      </c>
      <c r="N12" s="149" t="str">
        <f>CPP!N12</f>
        <v>Luna XI.</v>
      </c>
      <c r="O12" s="149" t="str">
        <f>CPP!O12</f>
        <v>Luna XII.</v>
      </c>
      <c r="P12" s="281"/>
      <c r="Q12" s="281"/>
      <c r="R12" s="281"/>
    </row>
    <row r="13" spans="2:18" x14ac:dyDescent="0.3">
      <c r="B13" s="281" t="s">
        <v>73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</row>
    <row r="14" spans="2:18" x14ac:dyDescent="0.3">
      <c r="B14" s="181" t="s">
        <v>73</v>
      </c>
      <c r="C14" s="182" t="s">
        <v>16</v>
      </c>
      <c r="D14" s="183">
        <v>0</v>
      </c>
      <c r="E14" s="183">
        <f>D37</f>
        <v>41373.229999999996</v>
      </c>
      <c r="F14" s="183">
        <f t="shared" ref="F14:O14" si="0">E37</f>
        <v>45204.81</v>
      </c>
      <c r="G14" s="183">
        <f t="shared" si="0"/>
        <v>49036.39</v>
      </c>
      <c r="H14" s="183">
        <f t="shared" si="0"/>
        <v>61397.04</v>
      </c>
      <c r="I14" s="183">
        <f t="shared" si="0"/>
        <v>61934.350000000006</v>
      </c>
      <c r="J14" s="183">
        <f t="shared" si="0"/>
        <v>62471.66</v>
      </c>
      <c r="K14" s="183">
        <f t="shared" si="0"/>
        <v>62323.98</v>
      </c>
      <c r="L14" s="183">
        <f t="shared" si="0"/>
        <v>62861.290000000008</v>
      </c>
      <c r="M14" s="183">
        <f t="shared" si="0"/>
        <v>63398.600000000006</v>
      </c>
      <c r="N14" s="183">
        <f t="shared" si="0"/>
        <v>63250.920000000006</v>
      </c>
      <c r="O14" s="183">
        <f t="shared" si="0"/>
        <v>63788.23000000001</v>
      </c>
      <c r="P14" s="184">
        <f>D14</f>
        <v>0</v>
      </c>
      <c r="Q14" s="184">
        <f>P37</f>
        <v>64325.53999999995</v>
      </c>
      <c r="R14" s="184">
        <f>Q37</f>
        <v>75961.199999999924</v>
      </c>
    </row>
    <row r="15" spans="2:18" x14ac:dyDescent="0.3">
      <c r="B15" s="281" t="s">
        <v>74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</row>
    <row r="16" spans="2:18" x14ac:dyDescent="0.3">
      <c r="B16" s="181" t="s">
        <v>75</v>
      </c>
      <c r="C16" s="182" t="s">
        <v>16</v>
      </c>
      <c r="D16" s="183">
        <f>CPP!D14</f>
        <v>22000</v>
      </c>
      <c r="E16" s="183">
        <f>CPP!E14</f>
        <v>22000</v>
      </c>
      <c r="F16" s="183">
        <f>CPP!F14</f>
        <v>22000</v>
      </c>
      <c r="G16" s="183">
        <f>CPP!G14</f>
        <v>22000</v>
      </c>
      <c r="H16" s="183">
        <f>CPP!H14</f>
        <v>22000</v>
      </c>
      <c r="I16" s="183">
        <f>CPP!I14</f>
        <v>22000</v>
      </c>
      <c r="J16" s="183">
        <f>CPP!J14</f>
        <v>22000</v>
      </c>
      <c r="K16" s="183">
        <f>CPP!K14</f>
        <v>22000</v>
      </c>
      <c r="L16" s="183">
        <f>CPP!L14</f>
        <v>22000</v>
      </c>
      <c r="M16" s="183">
        <f>CPP!M14</f>
        <v>22000</v>
      </c>
      <c r="N16" s="183">
        <f>CPP!N14</f>
        <v>22000</v>
      </c>
      <c r="O16" s="183">
        <f>CPP!O14</f>
        <v>22000</v>
      </c>
      <c r="P16" s="184">
        <f t="shared" ref="P16:P33" si="1">SUM(D16:O16)</f>
        <v>264000</v>
      </c>
      <c r="Q16" s="184">
        <f>CPP!Q14</f>
        <v>280000</v>
      </c>
      <c r="R16" s="184">
        <f>CPP!R14</f>
        <v>290000</v>
      </c>
    </row>
    <row r="17" spans="2:18" ht="15" thickBot="1" x14ac:dyDescent="0.35">
      <c r="B17" s="181" t="s">
        <v>76</v>
      </c>
      <c r="C17" s="182" t="s">
        <v>16</v>
      </c>
      <c r="D17" s="185">
        <f>CPP!D31</f>
        <v>0</v>
      </c>
      <c r="E17" s="185">
        <f>CPP!E31</f>
        <v>0</v>
      </c>
      <c r="F17" s="185">
        <f>CPP!F31</f>
        <v>0</v>
      </c>
      <c r="G17" s="185">
        <f>CPP!G31</f>
        <v>0</v>
      </c>
      <c r="H17" s="185">
        <f>CPP!H31</f>
        <v>0</v>
      </c>
      <c r="I17" s="185">
        <f>CPP!I31</f>
        <v>0</v>
      </c>
      <c r="J17" s="185">
        <f>CPP!J31</f>
        <v>0</v>
      </c>
      <c r="K17" s="185">
        <f>CPP!K31</f>
        <v>0</v>
      </c>
      <c r="L17" s="185">
        <f>CPP!L31</f>
        <v>0</v>
      </c>
      <c r="M17" s="185">
        <f>CPP!M31</f>
        <v>0</v>
      </c>
      <c r="N17" s="185">
        <f>CPP!N31</f>
        <v>0</v>
      </c>
      <c r="O17" s="185">
        <f>CPP!O31</f>
        <v>0</v>
      </c>
      <c r="P17" s="184">
        <f t="shared" si="1"/>
        <v>0</v>
      </c>
      <c r="Q17" s="186">
        <f>CPP!Q31</f>
        <v>0</v>
      </c>
      <c r="R17" s="186">
        <f>CPP!R31</f>
        <v>0</v>
      </c>
    </row>
    <row r="18" spans="2:18" ht="15" thickTop="1" x14ac:dyDescent="0.3">
      <c r="B18" s="181" t="s">
        <v>77</v>
      </c>
      <c r="C18" s="187" t="s">
        <v>16</v>
      </c>
      <c r="D18" s="196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8"/>
      <c r="P18" s="188">
        <f t="shared" si="1"/>
        <v>0</v>
      </c>
      <c r="Q18" s="202"/>
      <c r="R18" s="203"/>
    </row>
    <row r="19" spans="2:18" ht="29.4" thickBot="1" x14ac:dyDescent="0.35">
      <c r="B19" s="189" t="s">
        <v>78</v>
      </c>
      <c r="C19" s="187" t="s">
        <v>16</v>
      </c>
      <c r="D19" s="199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1"/>
      <c r="P19" s="188">
        <f t="shared" si="1"/>
        <v>0</v>
      </c>
      <c r="Q19" s="204"/>
      <c r="R19" s="205"/>
    </row>
    <row r="20" spans="2:18" ht="15" thickTop="1" x14ac:dyDescent="0.3">
      <c r="B20" s="189" t="s">
        <v>79</v>
      </c>
      <c r="C20" s="182" t="s">
        <v>16</v>
      </c>
      <c r="D20" s="190">
        <f>Centralizator!F49*75%+IF('Prog. ch. fixe'!F42=100%,Centralizator!F49*25%,0)</f>
        <v>37500</v>
      </c>
      <c r="E20" s="190">
        <f>IF(SUM($D$20:D20)=Centralizator!$F$49,0,IF('Prog. ch. fixe'!G42=100%,Centralizator!$F$49*25%,0))</f>
        <v>0</v>
      </c>
      <c r="F20" s="190">
        <f>IF(SUM($D$20:E20)=Centralizator!$F$49,0,IF('Prog. ch. fixe'!H42=100%,Centralizator!$F$49*25%,0))</f>
        <v>0</v>
      </c>
      <c r="G20" s="190">
        <f>IF(SUM($D$20:F20)=Centralizator!$F$49,0,IF('Prog. ch. fixe'!I42=100%,Centralizator!$F$49*25%,0))</f>
        <v>12500</v>
      </c>
      <c r="H20" s="190">
        <f>IF(SUM($D$20:G20)=Centralizator!$F$49,0,IF('Prog. ch. fixe'!J42=100%,Centralizator!$F$49*25%,0))</f>
        <v>0</v>
      </c>
      <c r="I20" s="190">
        <f>IF(SUM($D$20:H20)=Centralizator!$F$49,0,IF('Prog. ch. fixe'!K42=100%,Centralizator!$F$49*25%,0))</f>
        <v>0</v>
      </c>
      <c r="J20" s="190">
        <f>IF(SUM($D$20:I20)=Centralizator!$F$49,0,IF('Prog. ch. fixe'!L42=100%,Centralizator!$F$49*25%,0))</f>
        <v>0</v>
      </c>
      <c r="K20" s="190">
        <f>IF(SUM($D$20:J20)=Centralizator!$F$49,0,IF('Prog. ch. fixe'!M42=100%,Centralizator!$F$49*25%,0))</f>
        <v>0</v>
      </c>
      <c r="L20" s="190">
        <f>IF(SUM($D$20:K20)=Centralizator!$F$49,0,IF('Prog. ch. fixe'!N42=100%,Centralizator!$F$49*25%,0))</f>
        <v>0</v>
      </c>
      <c r="M20" s="190">
        <f>IF(SUM($D$20:L20)=Centralizator!$F$49,0,IF('Prog. ch. fixe'!O42=100%,Centralizator!$F$49*25%,0))</f>
        <v>0</v>
      </c>
      <c r="N20" s="190">
        <f>IF(SUM($D$20:M20)=Centralizator!$F$49,0,IF('Prog. ch. fixe'!P42=100%,Centralizator!$F$49*25%,0))</f>
        <v>0</v>
      </c>
      <c r="O20" s="190">
        <f>IF(SUM($D$20:N20)=Centralizator!$F$49,0,IF('Prog. ch. fixe'!O42=100%,Centralizator!$F$49*25%,0))</f>
        <v>0</v>
      </c>
      <c r="P20" s="184">
        <f t="shared" si="1"/>
        <v>50000</v>
      </c>
      <c r="Q20" s="191">
        <f>IF(SUM($E$20:O20)=0,IF(SUM($D$16:O16)&gt;$D$20*0.3,$D$20/3,0),0)</f>
        <v>0</v>
      </c>
      <c r="R20" s="191">
        <v>0</v>
      </c>
    </row>
    <row r="21" spans="2:18" ht="15" thickBot="1" x14ac:dyDescent="0.35">
      <c r="B21" s="192" t="s">
        <v>80</v>
      </c>
      <c r="C21" s="149" t="s">
        <v>16</v>
      </c>
      <c r="D21" s="193">
        <f>SUM(D16:D20)</f>
        <v>59500</v>
      </c>
      <c r="E21" s="193">
        <f t="shared" ref="E21:R21" si="2">SUM(E16:E20)</f>
        <v>22000</v>
      </c>
      <c r="F21" s="193">
        <f t="shared" si="2"/>
        <v>22000</v>
      </c>
      <c r="G21" s="193">
        <f t="shared" si="2"/>
        <v>34500</v>
      </c>
      <c r="H21" s="193">
        <f t="shared" si="2"/>
        <v>22000</v>
      </c>
      <c r="I21" s="193">
        <f>SUM(I16:I20)</f>
        <v>22000</v>
      </c>
      <c r="J21" s="193">
        <f t="shared" si="2"/>
        <v>22000</v>
      </c>
      <c r="K21" s="193">
        <f t="shared" si="2"/>
        <v>22000</v>
      </c>
      <c r="L21" s="193">
        <f t="shared" si="2"/>
        <v>22000</v>
      </c>
      <c r="M21" s="193">
        <f t="shared" si="2"/>
        <v>22000</v>
      </c>
      <c r="N21" s="193">
        <f t="shared" si="2"/>
        <v>22000</v>
      </c>
      <c r="O21" s="193">
        <f t="shared" si="2"/>
        <v>22000</v>
      </c>
      <c r="P21" s="194">
        <f t="shared" si="2"/>
        <v>314000</v>
      </c>
      <c r="Q21" s="193">
        <f t="shared" si="2"/>
        <v>280000</v>
      </c>
      <c r="R21" s="193">
        <f t="shared" si="2"/>
        <v>290000</v>
      </c>
    </row>
    <row r="22" spans="2:18" ht="15.6" thickTop="1" thickBot="1" x14ac:dyDescent="0.35">
      <c r="B22" s="181" t="s">
        <v>234</v>
      </c>
      <c r="C22" s="187" t="s">
        <v>16</v>
      </c>
      <c r="D22" s="208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188">
        <f>SUM(D22:O22)</f>
        <v>0</v>
      </c>
      <c r="Q22" s="206"/>
      <c r="R22" s="207"/>
    </row>
    <row r="23" spans="2:18" ht="15" thickTop="1" x14ac:dyDescent="0.3">
      <c r="B23" s="181" t="s">
        <v>62</v>
      </c>
      <c r="C23" s="182" t="s">
        <v>16</v>
      </c>
      <c r="D23" s="190">
        <f>CPP!D19</f>
        <v>11000</v>
      </c>
      <c r="E23" s="190">
        <f>CPP!E19</f>
        <v>11000</v>
      </c>
      <c r="F23" s="190">
        <f>CPP!F19</f>
        <v>11000</v>
      </c>
      <c r="G23" s="190">
        <f>CPP!G19</f>
        <v>11000</v>
      </c>
      <c r="H23" s="190">
        <f>CPP!H19</f>
        <v>11000</v>
      </c>
      <c r="I23" s="190">
        <f>CPP!I19</f>
        <v>11000</v>
      </c>
      <c r="J23" s="190">
        <f>CPP!J19</f>
        <v>11000</v>
      </c>
      <c r="K23" s="190">
        <f>CPP!K19</f>
        <v>11000</v>
      </c>
      <c r="L23" s="190">
        <f>CPP!L19</f>
        <v>11000</v>
      </c>
      <c r="M23" s="190">
        <f>CPP!M19</f>
        <v>11000</v>
      </c>
      <c r="N23" s="190">
        <f>CPP!N19</f>
        <v>11000</v>
      </c>
      <c r="O23" s="190">
        <f>CPP!O19</f>
        <v>11000</v>
      </c>
      <c r="P23" s="184">
        <f t="shared" si="1"/>
        <v>132000</v>
      </c>
      <c r="Q23" s="191">
        <f>CPP!Q19</f>
        <v>140000</v>
      </c>
      <c r="R23" s="191">
        <f>CPP!R19</f>
        <v>145000</v>
      </c>
    </row>
    <row r="24" spans="2:18" ht="28.8" x14ac:dyDescent="0.3">
      <c r="B24" s="189" t="str">
        <f>'Prog. ch. fixe'!B14</f>
        <v>Cheltuieli cu materiile prime si cu materialele consumabile</v>
      </c>
      <c r="C24" s="182" t="s">
        <v>16</v>
      </c>
      <c r="D24" s="183">
        <f>CPP!D20</f>
        <v>0</v>
      </c>
      <c r="E24" s="183">
        <f>CPP!E20</f>
        <v>0</v>
      </c>
      <c r="F24" s="183">
        <f>CPP!F20</f>
        <v>0</v>
      </c>
      <c r="G24" s="183">
        <f>CPP!G20</f>
        <v>0</v>
      </c>
      <c r="H24" s="183">
        <f>CPP!H20</f>
        <v>0</v>
      </c>
      <c r="I24" s="183">
        <f>CPP!I20</f>
        <v>0</v>
      </c>
      <c r="J24" s="183">
        <f>CPP!J20</f>
        <v>0</v>
      </c>
      <c r="K24" s="183">
        <f>CPP!K20</f>
        <v>0</v>
      </c>
      <c r="L24" s="183">
        <f>CPP!L20</f>
        <v>0</v>
      </c>
      <c r="M24" s="183">
        <f>CPP!M20</f>
        <v>0</v>
      </c>
      <c r="N24" s="183">
        <f>CPP!N20</f>
        <v>0</v>
      </c>
      <c r="O24" s="183">
        <f>CPP!O20</f>
        <v>0</v>
      </c>
      <c r="P24" s="184">
        <f t="shared" si="1"/>
        <v>0</v>
      </c>
      <c r="Q24" s="184">
        <f>CPP!Q20</f>
        <v>0</v>
      </c>
      <c r="R24" s="184">
        <f>CPP!R20</f>
        <v>0</v>
      </c>
    </row>
    <row r="25" spans="2:18" x14ac:dyDescent="0.3">
      <c r="B25" s="181" t="str">
        <f>'Prog. ch. fixe'!B15</f>
        <v>Alte cheltuieli materiale</v>
      </c>
      <c r="C25" s="182" t="s">
        <v>16</v>
      </c>
      <c r="D25" s="183">
        <f>CPP!D21</f>
        <v>500</v>
      </c>
      <c r="E25" s="183">
        <f>CPP!E21</f>
        <v>500</v>
      </c>
      <c r="F25" s="183">
        <f>CPP!F21</f>
        <v>500</v>
      </c>
      <c r="G25" s="183">
        <f>CPP!G21</f>
        <v>500</v>
      </c>
      <c r="H25" s="183">
        <f>CPP!H21</f>
        <v>500</v>
      </c>
      <c r="I25" s="183">
        <f>CPP!I21</f>
        <v>500</v>
      </c>
      <c r="J25" s="183">
        <f>CPP!J21</f>
        <v>500</v>
      </c>
      <c r="K25" s="183">
        <f>CPP!K21</f>
        <v>500</v>
      </c>
      <c r="L25" s="183">
        <f>CPP!L21</f>
        <v>500</v>
      </c>
      <c r="M25" s="183">
        <f>CPP!M21</f>
        <v>500</v>
      </c>
      <c r="N25" s="183">
        <f>CPP!N21</f>
        <v>500</v>
      </c>
      <c r="O25" s="183">
        <f>CPP!O21</f>
        <v>500</v>
      </c>
      <c r="P25" s="184">
        <f t="shared" si="1"/>
        <v>6000</v>
      </c>
      <c r="Q25" s="184">
        <f>CPP!Q21</f>
        <v>6000</v>
      </c>
      <c r="R25" s="184">
        <f>CPP!R21</f>
        <v>6000</v>
      </c>
    </row>
    <row r="26" spans="2:18" x14ac:dyDescent="0.3">
      <c r="B26" s="181" t="str">
        <f>'Prog. ch. fixe'!B16</f>
        <v>Cheltuieli legate de sediu</v>
      </c>
      <c r="C26" s="182" t="s">
        <v>16</v>
      </c>
      <c r="D26" s="183">
        <f>CPP!D22</f>
        <v>1600</v>
      </c>
      <c r="E26" s="183">
        <f>CPP!E22</f>
        <v>1600</v>
      </c>
      <c r="F26" s="183">
        <f>CPP!F22</f>
        <v>1600</v>
      </c>
      <c r="G26" s="183">
        <f>CPP!G22</f>
        <v>1600</v>
      </c>
      <c r="H26" s="183">
        <f>CPP!H22</f>
        <v>1600</v>
      </c>
      <c r="I26" s="183">
        <f>CPP!I22</f>
        <v>1600</v>
      </c>
      <c r="J26" s="183">
        <f>CPP!J22</f>
        <v>1600</v>
      </c>
      <c r="K26" s="183">
        <f>CPP!K22</f>
        <v>1600</v>
      </c>
      <c r="L26" s="183">
        <f>CPP!L22</f>
        <v>1600</v>
      </c>
      <c r="M26" s="183">
        <f>CPP!M22</f>
        <v>1600</v>
      </c>
      <c r="N26" s="183">
        <f>CPP!N22</f>
        <v>1600</v>
      </c>
      <c r="O26" s="183">
        <f>CPP!O22</f>
        <v>1600</v>
      </c>
      <c r="P26" s="184">
        <f t="shared" si="1"/>
        <v>19200</v>
      </c>
      <c r="Q26" s="184">
        <f>CPP!Q22</f>
        <v>19200</v>
      </c>
      <c r="R26" s="184">
        <f>CPP!R22</f>
        <v>19200</v>
      </c>
    </row>
    <row r="27" spans="2:18" x14ac:dyDescent="0.3">
      <c r="B27" s="181" t="str">
        <f>'Prog. ch. fixe'!B19</f>
        <v>Cheltuieli personale - total</v>
      </c>
      <c r="C27" s="182" t="s">
        <v>16</v>
      </c>
      <c r="D27" s="183">
        <f>CPP!D23</f>
        <v>3137.4</v>
      </c>
      <c r="E27" s="183">
        <f>CPP!E23</f>
        <v>3137.4</v>
      </c>
      <c r="F27" s="183">
        <f>CPP!F23</f>
        <v>3137.4</v>
      </c>
      <c r="G27" s="183">
        <f>CPP!G23</f>
        <v>6274.8</v>
      </c>
      <c r="H27" s="183">
        <f>CPP!H23</f>
        <v>6274.8</v>
      </c>
      <c r="I27" s="183">
        <f>CPP!I23</f>
        <v>6274.8</v>
      </c>
      <c r="J27" s="183">
        <f>CPP!J23</f>
        <v>6274.8</v>
      </c>
      <c r="K27" s="183">
        <f>CPP!K23</f>
        <v>6274.8</v>
      </c>
      <c r="L27" s="183">
        <f>CPP!L23</f>
        <v>6274.8</v>
      </c>
      <c r="M27" s="183">
        <f>CPP!M23</f>
        <v>6274.8</v>
      </c>
      <c r="N27" s="183">
        <f>CPP!N23</f>
        <v>6274.8</v>
      </c>
      <c r="O27" s="183">
        <f>CPP!O23</f>
        <v>6274.8</v>
      </c>
      <c r="P27" s="184">
        <f t="shared" si="1"/>
        <v>65885.400000000009</v>
      </c>
      <c r="Q27" s="184">
        <f>CPP!Q23</f>
        <v>75297.600000000006</v>
      </c>
      <c r="R27" s="184">
        <f>CPP!R23</f>
        <v>75297.600000000006</v>
      </c>
    </row>
    <row r="28" spans="2:18" x14ac:dyDescent="0.3">
      <c r="B28" s="181" t="str">
        <f>'Prog. ch. fixe'!B22</f>
        <v>Cheltuieli de marketing</v>
      </c>
      <c r="C28" s="182" t="s">
        <v>16</v>
      </c>
      <c r="D28" s="183">
        <f>CPP!D24</f>
        <v>1000</v>
      </c>
      <c r="E28" s="183">
        <f>CPP!E24</f>
        <v>1000</v>
      </c>
      <c r="F28" s="183">
        <f>CPP!F24</f>
        <v>1000</v>
      </c>
      <c r="G28" s="183">
        <f>CPP!G24</f>
        <v>1000</v>
      </c>
      <c r="H28" s="183">
        <f>CPP!H24</f>
        <v>1000</v>
      </c>
      <c r="I28" s="183">
        <f>CPP!I24</f>
        <v>1000</v>
      </c>
      <c r="J28" s="183">
        <f>CPP!J24</f>
        <v>1000</v>
      </c>
      <c r="K28" s="183">
        <f>CPP!K24</f>
        <v>1000</v>
      </c>
      <c r="L28" s="183">
        <f>CPP!L24</f>
        <v>1000</v>
      </c>
      <c r="M28" s="183">
        <f>CPP!M24</f>
        <v>1000</v>
      </c>
      <c r="N28" s="183">
        <f>CPP!N24</f>
        <v>1000</v>
      </c>
      <c r="O28" s="183">
        <f>CPP!O24</f>
        <v>1000</v>
      </c>
      <c r="P28" s="184">
        <f t="shared" si="1"/>
        <v>12000</v>
      </c>
      <c r="Q28" s="184">
        <f>CPP!Q24</f>
        <v>12000</v>
      </c>
      <c r="R28" s="184">
        <f>CPP!R24</f>
        <v>12000</v>
      </c>
    </row>
    <row r="29" spans="2:18" x14ac:dyDescent="0.3">
      <c r="B29" s="181" t="str">
        <f>'Prog. ch. fixe'!B23</f>
        <v>Cheltuieli privind prestățiile externe</v>
      </c>
      <c r="C29" s="182" t="s">
        <v>16</v>
      </c>
      <c r="D29" s="183">
        <f>CPP!D25+'Prog. ch. fixe'!D26</f>
        <v>550</v>
      </c>
      <c r="E29" s="183">
        <f>CPP!E25+'Prog. ch. fixe'!E26</f>
        <v>550</v>
      </c>
      <c r="F29" s="183">
        <f>CPP!F25+'Prog. ch. fixe'!F26</f>
        <v>550</v>
      </c>
      <c r="G29" s="183">
        <f>CPP!G25+'Prog. ch. fixe'!G26</f>
        <v>550</v>
      </c>
      <c r="H29" s="183">
        <f>CPP!H25+'Prog. ch. fixe'!H26</f>
        <v>550</v>
      </c>
      <c r="I29" s="183">
        <f>CPP!I25+'Prog. ch. fixe'!I26</f>
        <v>550</v>
      </c>
      <c r="J29" s="183">
        <f>CPP!J25+'Prog. ch. fixe'!J26</f>
        <v>550</v>
      </c>
      <c r="K29" s="183">
        <f>CPP!K25+'Prog. ch. fixe'!K26</f>
        <v>550</v>
      </c>
      <c r="L29" s="183">
        <f>CPP!L25+'Prog. ch. fixe'!L26</f>
        <v>550</v>
      </c>
      <c r="M29" s="183">
        <f>CPP!M25+'Prog. ch. fixe'!M26</f>
        <v>550</v>
      </c>
      <c r="N29" s="183">
        <f>CPP!N25+'Prog. ch. fixe'!N26</f>
        <v>550</v>
      </c>
      <c r="O29" s="183">
        <f>CPP!O25+'Prog. ch. fixe'!O26</f>
        <v>550</v>
      </c>
      <c r="P29" s="184">
        <f t="shared" si="1"/>
        <v>6600</v>
      </c>
      <c r="Q29" s="184">
        <f>CPP!Q25+'Prog. ch. fixe'!R26</f>
        <v>6600</v>
      </c>
      <c r="R29" s="184">
        <f>CPP!R25+'Prog. ch. fixe'!T26</f>
        <v>6600</v>
      </c>
    </row>
    <row r="30" spans="2:18" x14ac:dyDescent="0.3">
      <c r="B30" s="181" t="str">
        <f>'Prog. ch. fixe'!B29</f>
        <v>Alte cheltuieli de exploatare</v>
      </c>
      <c r="C30" s="182" t="s">
        <v>16</v>
      </c>
      <c r="D30" s="183">
        <f>CPP!D27</f>
        <v>339.37</v>
      </c>
      <c r="E30" s="183">
        <f>CPP!E27</f>
        <v>381.02</v>
      </c>
      <c r="F30" s="183">
        <f>CPP!F27</f>
        <v>381.02</v>
      </c>
      <c r="G30" s="183">
        <f>CPP!G27</f>
        <v>537.89</v>
      </c>
      <c r="H30" s="183">
        <f>CPP!H27</f>
        <v>537.89</v>
      </c>
      <c r="I30" s="183">
        <f>CPP!I27</f>
        <v>537.89</v>
      </c>
      <c r="J30" s="183">
        <f>CPP!J27</f>
        <v>537.89</v>
      </c>
      <c r="K30" s="183">
        <f>CPP!K27</f>
        <v>537.89</v>
      </c>
      <c r="L30" s="183">
        <f>CPP!L27</f>
        <v>537.89</v>
      </c>
      <c r="M30" s="183">
        <f>CPP!M27</f>
        <v>537.89</v>
      </c>
      <c r="N30" s="183">
        <f>CPP!N27</f>
        <v>537.89</v>
      </c>
      <c r="O30" s="183">
        <f>CPP!O27</f>
        <v>537.89</v>
      </c>
      <c r="P30" s="184">
        <f t="shared" si="1"/>
        <v>5942.42</v>
      </c>
      <c r="Q30" s="184">
        <f>CPP!Q27</f>
        <v>6413.03</v>
      </c>
      <c r="R30" s="184">
        <f>CPP!R27</f>
        <v>6413.03</v>
      </c>
    </row>
    <row r="31" spans="2:18" x14ac:dyDescent="0.3">
      <c r="B31" s="181" t="s">
        <v>81</v>
      </c>
      <c r="C31" s="182" t="s">
        <v>16</v>
      </c>
      <c r="D31" s="183">
        <f>CPP!D33</f>
        <v>0</v>
      </c>
      <c r="E31" s="183">
        <f>CPP!E33</f>
        <v>0</v>
      </c>
      <c r="F31" s="183">
        <f>CPP!F33</f>
        <v>0</v>
      </c>
      <c r="G31" s="183">
        <f>CPP!G33</f>
        <v>0</v>
      </c>
      <c r="H31" s="183">
        <f>CPP!H33</f>
        <v>0</v>
      </c>
      <c r="I31" s="183">
        <f>CPP!I33</f>
        <v>0</v>
      </c>
      <c r="J31" s="183">
        <f>CPP!J33</f>
        <v>0</v>
      </c>
      <c r="K31" s="183">
        <f>CPP!K33</f>
        <v>0</v>
      </c>
      <c r="L31" s="183">
        <f>CPP!L33</f>
        <v>0</v>
      </c>
      <c r="M31" s="183">
        <f>CPP!M33</f>
        <v>0</v>
      </c>
      <c r="N31" s="183">
        <f>CPP!N33</f>
        <v>0</v>
      </c>
      <c r="O31" s="183">
        <f>CPP!O33</f>
        <v>0</v>
      </c>
      <c r="P31" s="184">
        <f t="shared" si="1"/>
        <v>0</v>
      </c>
      <c r="Q31" s="184">
        <f>CPP!Q33</f>
        <v>0</v>
      </c>
      <c r="R31" s="184">
        <f>CPP!R33</f>
        <v>0</v>
      </c>
    </row>
    <row r="32" spans="2:18" ht="15" thickBot="1" x14ac:dyDescent="0.35">
      <c r="B32" s="181" t="s">
        <v>82</v>
      </c>
      <c r="C32" s="182" t="s">
        <v>16</v>
      </c>
      <c r="D32" s="185">
        <v>0</v>
      </c>
      <c r="E32" s="185">
        <v>0</v>
      </c>
      <c r="F32" s="185">
        <v>0</v>
      </c>
      <c r="G32" s="185">
        <f>SUM(CPP!D37:F37)</f>
        <v>676.66000000000008</v>
      </c>
      <c r="H32" s="185">
        <v>0</v>
      </c>
      <c r="I32" s="185">
        <v>0</v>
      </c>
      <c r="J32" s="185">
        <f>SUM(CPP!G37:I37)</f>
        <v>684.99</v>
      </c>
      <c r="K32" s="185">
        <v>0</v>
      </c>
      <c r="L32" s="185">
        <v>0</v>
      </c>
      <c r="M32" s="185">
        <f>SUM(CPP!J37:L37)</f>
        <v>684.99</v>
      </c>
      <c r="N32" s="185">
        <v>0</v>
      </c>
      <c r="O32" s="185">
        <v>0</v>
      </c>
      <c r="P32" s="184">
        <f t="shared" si="1"/>
        <v>2046.64</v>
      </c>
      <c r="Q32" s="186">
        <f>ROUND(SUM(CPP!M37:O37)+0.75*CPP!Q37,2)</f>
        <v>2853.71</v>
      </c>
      <c r="R32" s="186">
        <f>ROUND(0.25*CPP!Q37+0.75*CPP!R37,2)</f>
        <v>2966.63</v>
      </c>
    </row>
    <row r="33" spans="2:18" ht="15.6" thickTop="1" thickBot="1" x14ac:dyDescent="0.35">
      <c r="B33" s="181" t="s">
        <v>83</v>
      </c>
      <c r="C33" s="187" t="s">
        <v>16</v>
      </c>
      <c r="D33" s="208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188">
        <f t="shared" si="1"/>
        <v>0</v>
      </c>
      <c r="Q33" s="206"/>
      <c r="R33" s="207"/>
    </row>
    <row r="34" spans="2:18" ht="15" thickTop="1" x14ac:dyDescent="0.3">
      <c r="B34" s="192" t="s">
        <v>84</v>
      </c>
      <c r="C34" s="149" t="s">
        <v>16</v>
      </c>
      <c r="D34" s="195">
        <f>SUM(D22:D33)</f>
        <v>18126.77</v>
      </c>
      <c r="E34" s="195">
        <f t="shared" ref="E34:R34" si="3">SUM(E22:E33)</f>
        <v>18168.420000000002</v>
      </c>
      <c r="F34" s="195">
        <f t="shared" si="3"/>
        <v>18168.420000000002</v>
      </c>
      <c r="G34" s="195">
        <f t="shared" si="3"/>
        <v>22139.35</v>
      </c>
      <c r="H34" s="195">
        <f t="shared" si="3"/>
        <v>21462.69</v>
      </c>
      <c r="I34" s="195">
        <f t="shared" si="3"/>
        <v>21462.69</v>
      </c>
      <c r="J34" s="195">
        <f t="shared" si="3"/>
        <v>22147.68</v>
      </c>
      <c r="K34" s="195">
        <f t="shared" si="3"/>
        <v>21462.69</v>
      </c>
      <c r="L34" s="195">
        <f t="shared" si="3"/>
        <v>21462.69</v>
      </c>
      <c r="M34" s="195">
        <f t="shared" si="3"/>
        <v>22147.68</v>
      </c>
      <c r="N34" s="195">
        <f t="shared" si="3"/>
        <v>21462.69</v>
      </c>
      <c r="O34" s="195">
        <f t="shared" si="3"/>
        <v>21462.69</v>
      </c>
      <c r="P34" s="194">
        <f t="shared" si="3"/>
        <v>249674.46000000005</v>
      </c>
      <c r="Q34" s="195">
        <f t="shared" si="3"/>
        <v>268364.34000000003</v>
      </c>
      <c r="R34" s="195">
        <f t="shared" si="3"/>
        <v>273477.26</v>
      </c>
    </row>
    <row r="35" spans="2:18" x14ac:dyDescent="0.3">
      <c r="B35" s="192" t="s">
        <v>85</v>
      </c>
      <c r="C35" s="149" t="s">
        <v>16</v>
      </c>
      <c r="D35" s="194">
        <f>D21-D34</f>
        <v>41373.229999999996</v>
      </c>
      <c r="E35" s="194">
        <f t="shared" ref="E35:R35" si="4">E21-E34</f>
        <v>3831.5799999999981</v>
      </c>
      <c r="F35" s="194">
        <f t="shared" si="4"/>
        <v>3831.5799999999981</v>
      </c>
      <c r="G35" s="194">
        <f t="shared" si="4"/>
        <v>12360.650000000001</v>
      </c>
      <c r="H35" s="194">
        <f t="shared" si="4"/>
        <v>537.31000000000131</v>
      </c>
      <c r="I35" s="194">
        <f t="shared" si="4"/>
        <v>537.31000000000131</v>
      </c>
      <c r="J35" s="194">
        <f t="shared" si="4"/>
        <v>-147.68000000000029</v>
      </c>
      <c r="K35" s="194">
        <f t="shared" si="4"/>
        <v>537.31000000000131</v>
      </c>
      <c r="L35" s="194">
        <f t="shared" si="4"/>
        <v>537.31000000000131</v>
      </c>
      <c r="M35" s="194">
        <f t="shared" si="4"/>
        <v>-147.68000000000029</v>
      </c>
      <c r="N35" s="194">
        <f t="shared" si="4"/>
        <v>537.31000000000131</v>
      </c>
      <c r="O35" s="194">
        <f t="shared" si="4"/>
        <v>537.31000000000131</v>
      </c>
      <c r="P35" s="194">
        <f t="shared" si="4"/>
        <v>64325.53999999995</v>
      </c>
      <c r="Q35" s="194">
        <f t="shared" si="4"/>
        <v>11635.659999999974</v>
      </c>
      <c r="R35" s="194">
        <f t="shared" si="4"/>
        <v>16522.739999999991</v>
      </c>
    </row>
    <row r="36" spans="2:18" x14ac:dyDescent="0.3">
      <c r="B36" s="281" t="s">
        <v>86</v>
      </c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</row>
    <row r="37" spans="2:18" x14ac:dyDescent="0.3">
      <c r="B37" s="181" t="s">
        <v>86</v>
      </c>
      <c r="C37" s="182" t="s">
        <v>16</v>
      </c>
      <c r="D37" s="183">
        <f>D14+D35</f>
        <v>41373.229999999996</v>
      </c>
      <c r="E37" s="183">
        <f t="shared" ref="E37:R37" si="5">E14+E35</f>
        <v>45204.81</v>
      </c>
      <c r="F37" s="183">
        <f t="shared" si="5"/>
        <v>49036.39</v>
      </c>
      <c r="G37" s="183">
        <f t="shared" si="5"/>
        <v>61397.04</v>
      </c>
      <c r="H37" s="183">
        <f t="shared" si="5"/>
        <v>61934.350000000006</v>
      </c>
      <c r="I37" s="183">
        <f t="shared" si="5"/>
        <v>62471.66</v>
      </c>
      <c r="J37" s="183">
        <f t="shared" si="5"/>
        <v>62323.98</v>
      </c>
      <c r="K37" s="183">
        <f t="shared" si="5"/>
        <v>62861.290000000008</v>
      </c>
      <c r="L37" s="183">
        <f t="shared" si="5"/>
        <v>63398.600000000006</v>
      </c>
      <c r="M37" s="183">
        <f t="shared" si="5"/>
        <v>63250.920000000006</v>
      </c>
      <c r="N37" s="183">
        <f t="shared" si="5"/>
        <v>63788.23000000001</v>
      </c>
      <c r="O37" s="183">
        <f>O14+O35</f>
        <v>64325.540000000008</v>
      </c>
      <c r="P37" s="184">
        <f>P14+P35</f>
        <v>64325.53999999995</v>
      </c>
      <c r="Q37" s="184">
        <f t="shared" si="5"/>
        <v>75961.199999999924</v>
      </c>
      <c r="R37" s="184">
        <f t="shared" si="5"/>
        <v>92483.939999999915</v>
      </c>
    </row>
    <row r="39" spans="2:18" x14ac:dyDescent="0.3">
      <c r="C39" s="178"/>
    </row>
  </sheetData>
  <sheetProtection algorithmName="SHA-512" hashValue="BDfTikRQXkL0iYY/c9ltCCbJH2KZtRXIGVmNOqMeT7l7C7mbnG2BQPD4Wb6fWLWBzazSAp/t0JoFgGZ3pPYkgg==" saltValue="NXmUhwB66zhU7BRA/jhN2g==" spinCount="100000" sheet="1" objects="1" scenarios="1"/>
  <mergeCells count="13">
    <mergeCell ref="B36:R36"/>
    <mergeCell ref="B13:R13"/>
    <mergeCell ref="B11:B12"/>
    <mergeCell ref="C11:C12"/>
    <mergeCell ref="D11:O11"/>
    <mergeCell ref="P11:P12"/>
    <mergeCell ref="Q11:Q12"/>
    <mergeCell ref="R11:R12"/>
    <mergeCell ref="C6:F6"/>
    <mergeCell ref="C7:F7"/>
    <mergeCell ref="C8:F8"/>
    <mergeCell ref="C9:F9"/>
    <mergeCell ref="B15:R15"/>
  </mergeCells>
  <pageMargins left="0.25" right="0.25" top="0.75" bottom="0.75" header="0.3" footer="0.3"/>
  <pageSetup paperSize="9" scale="64" orientation="landscape" r:id="rId1"/>
  <ignoredErrors>
    <ignoredError sqref="C6:F9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26EF-C173-4BF9-A5BC-A4F78E0B982C}">
  <sheetPr>
    <pageSetUpPr fitToPage="1"/>
  </sheetPr>
  <dimension ref="B6:M38"/>
  <sheetViews>
    <sheetView showGridLines="0" zoomScale="90" zoomScaleNormal="90" workbookViewId="0">
      <selection activeCell="F41" sqref="F41"/>
    </sheetView>
  </sheetViews>
  <sheetFormatPr defaultColWidth="9.109375" defaultRowHeight="14.4" x14ac:dyDescent="0.3"/>
  <cols>
    <col min="1" max="1" width="3.77734375" style="118" customWidth="1"/>
    <col min="2" max="2" width="47.44140625" style="118" bestFit="1" customWidth="1"/>
    <col min="3" max="3" width="9.109375" style="118"/>
    <col min="4" max="6" width="15.77734375" style="118" customWidth="1"/>
    <col min="7" max="16384" width="9.109375" style="118"/>
  </cols>
  <sheetData>
    <row r="6" spans="2:6" x14ac:dyDescent="0.3">
      <c r="B6" s="36" t="s">
        <v>130</v>
      </c>
      <c r="C6" s="270" t="str">
        <f>Centralizator!C6</f>
        <v>se completează pe pagina Centralizator</v>
      </c>
      <c r="D6" s="271"/>
      <c r="E6" s="271"/>
      <c r="F6" s="272"/>
    </row>
    <row r="7" spans="2:6" ht="14.25" customHeight="1" x14ac:dyDescent="0.3">
      <c r="B7" s="36" t="s">
        <v>131</v>
      </c>
      <c r="C7" s="270" t="str">
        <f>Centralizator!C7</f>
        <v>se completează pe pagina Centralizator</v>
      </c>
      <c r="D7" s="271"/>
      <c r="E7" s="271"/>
      <c r="F7" s="272"/>
    </row>
    <row r="8" spans="2:6" ht="14.25" customHeight="1" x14ac:dyDescent="0.3">
      <c r="B8" s="36" t="s">
        <v>132</v>
      </c>
      <c r="C8" s="270" t="str">
        <f>Centralizator!C8</f>
        <v>se completează pe pagina Centralizator</v>
      </c>
      <c r="D8" s="271"/>
      <c r="E8" s="271"/>
      <c r="F8" s="272"/>
    </row>
    <row r="9" spans="2:6" ht="14.25" customHeight="1" x14ac:dyDescent="0.3">
      <c r="B9" s="36" t="s">
        <v>133</v>
      </c>
      <c r="C9" s="270" t="str">
        <f>Centralizator!C9</f>
        <v>se completează pe pagina Centralizator</v>
      </c>
      <c r="D9" s="271"/>
      <c r="E9" s="271"/>
      <c r="F9" s="272"/>
    </row>
    <row r="11" spans="2:6" x14ac:dyDescent="0.3">
      <c r="B11" s="281" t="s">
        <v>7</v>
      </c>
      <c r="C11" s="281" t="s">
        <v>9</v>
      </c>
      <c r="D11" s="281" t="s">
        <v>11</v>
      </c>
      <c r="E11" s="281" t="s">
        <v>12</v>
      </c>
      <c r="F11" s="281" t="s">
        <v>13</v>
      </c>
    </row>
    <row r="12" spans="2:6" x14ac:dyDescent="0.3">
      <c r="B12" s="281"/>
      <c r="C12" s="281"/>
      <c r="D12" s="281"/>
      <c r="E12" s="281"/>
      <c r="F12" s="281"/>
    </row>
    <row r="13" spans="2:6" x14ac:dyDescent="0.3">
      <c r="B13" s="121" t="s">
        <v>87</v>
      </c>
      <c r="C13" s="125" t="s">
        <v>16</v>
      </c>
      <c r="D13" s="309">
        <f>Centralizator!E49</f>
        <v>50000</v>
      </c>
      <c r="E13" s="310"/>
      <c r="F13" s="311"/>
    </row>
    <row r="14" spans="2:6" x14ac:dyDescent="0.3">
      <c r="B14" s="121" t="s">
        <v>58</v>
      </c>
      <c r="C14" s="125" t="s">
        <v>16</v>
      </c>
      <c r="D14" s="211">
        <f>CPP!P17</f>
        <v>273163</v>
      </c>
      <c r="E14" s="211">
        <f>CPP!Q17</f>
        <v>289163</v>
      </c>
      <c r="F14" s="211">
        <f>CPP!R17</f>
        <v>299163</v>
      </c>
    </row>
    <row r="15" spans="2:6" x14ac:dyDescent="0.3">
      <c r="B15" s="121" t="s">
        <v>61</v>
      </c>
      <c r="C15" s="125" t="s">
        <v>16</v>
      </c>
      <c r="D15" s="211">
        <f>CPP!P28</f>
        <v>256190.82000000004</v>
      </c>
      <c r="E15" s="211">
        <f>CPP!Q28</f>
        <v>274073.63</v>
      </c>
      <c r="F15" s="211">
        <f>CPP!R28</f>
        <v>279073.63</v>
      </c>
    </row>
    <row r="16" spans="2:6" x14ac:dyDescent="0.3">
      <c r="B16" s="121" t="s">
        <v>88</v>
      </c>
      <c r="C16" s="125" t="s">
        <v>16</v>
      </c>
      <c r="D16" s="211">
        <f>D14-D15</f>
        <v>16972.179999999964</v>
      </c>
      <c r="E16" s="211">
        <f t="shared" ref="E16:F16" si="0">E14-E15</f>
        <v>15089.369999999995</v>
      </c>
      <c r="F16" s="211">
        <f t="shared" si="0"/>
        <v>20089.369999999995</v>
      </c>
    </row>
    <row r="17" spans="2:13" x14ac:dyDescent="0.3">
      <c r="B17" s="121" t="s">
        <v>89</v>
      </c>
      <c r="C17" s="125" t="s">
        <v>90</v>
      </c>
      <c r="D17" s="212">
        <f>IF(D14&lt;&gt;0,D16/D14,0%)</f>
        <v>6.2132060344922128E-2</v>
      </c>
      <c r="E17" s="212">
        <f t="shared" ref="E17:F17" si="1">IF(E14&lt;&gt;0,E16/E14,0%)</f>
        <v>5.2182921051448478E-2</v>
      </c>
      <c r="F17" s="212">
        <f t="shared" si="1"/>
        <v>6.7151920524931213E-2</v>
      </c>
    </row>
    <row r="18" spans="2:13" x14ac:dyDescent="0.3">
      <c r="B18" s="121" t="s">
        <v>91</v>
      </c>
      <c r="C18" s="125" t="s">
        <v>16</v>
      </c>
      <c r="D18" s="211">
        <f>CF!P35-CF!P18-CF!P19-CF!P20+CF!P22</f>
        <v>14325.53999999995</v>
      </c>
      <c r="E18" s="211">
        <f>CF!Q35-CF!Q18-CF!Q19-CF!Q20+CF!Q22</f>
        <v>11635.659999999974</v>
      </c>
      <c r="F18" s="211">
        <f>CF!R35-CF!R18-CF!R19-CF!R20+CF!R22</f>
        <v>16522.739999999991</v>
      </c>
    </row>
    <row r="19" spans="2:13" x14ac:dyDescent="0.3">
      <c r="B19" s="121" t="s">
        <v>92</v>
      </c>
      <c r="C19" s="125" t="s">
        <v>90</v>
      </c>
      <c r="D19" s="315">
        <v>0.08</v>
      </c>
      <c r="E19" s="316"/>
      <c r="F19" s="317"/>
    </row>
    <row r="20" spans="2:13" x14ac:dyDescent="0.3">
      <c r="B20" s="121" t="s">
        <v>93</v>
      </c>
      <c r="C20" s="125" t="s">
        <v>16</v>
      </c>
      <c r="D20" s="211">
        <f>D18/(1+$D$19)^1</f>
        <v>13264.388888888841</v>
      </c>
      <c r="E20" s="211">
        <f>E18/(1+$D$19)^2</f>
        <v>9975.703017832624</v>
      </c>
      <c r="F20" s="211">
        <f>F18/(1+$D$19)^3</f>
        <v>13116.28372199359</v>
      </c>
    </row>
    <row r="21" spans="2:13" x14ac:dyDescent="0.3">
      <c r="B21" s="121" t="s">
        <v>94</v>
      </c>
      <c r="C21" s="125" t="s">
        <v>16</v>
      </c>
      <c r="D21" s="312">
        <f>D28-D13</f>
        <v>54644.602487180731</v>
      </c>
      <c r="E21" s="313"/>
      <c r="F21" s="314"/>
    </row>
    <row r="22" spans="2:13" x14ac:dyDescent="0.3">
      <c r="B22" s="121" t="s">
        <v>95</v>
      </c>
      <c r="C22" s="125" t="s">
        <v>279</v>
      </c>
      <c r="D22" s="318">
        <f>SUM(D32:M32)</f>
        <v>4.1332951531066717</v>
      </c>
      <c r="E22" s="319"/>
      <c r="F22" s="320"/>
    </row>
    <row r="23" spans="2:13" x14ac:dyDescent="0.3">
      <c r="B23" s="121" t="s">
        <v>96</v>
      </c>
      <c r="C23" s="125" t="s">
        <v>16</v>
      </c>
      <c r="D23" s="211">
        <f>CF!P37</f>
        <v>64325.53999999995</v>
      </c>
      <c r="E23" s="211">
        <f>CF!Q37</f>
        <v>75961.199999999924</v>
      </c>
      <c r="F23" s="211">
        <f>CF!R37</f>
        <v>92483.939999999915</v>
      </c>
    </row>
    <row r="24" spans="2:13" x14ac:dyDescent="0.3">
      <c r="D24" s="213"/>
      <c r="E24" s="213"/>
      <c r="F24" s="213"/>
    </row>
    <row r="25" spans="2:13" x14ac:dyDescent="0.3">
      <c r="C25" s="178"/>
    </row>
    <row r="26" spans="2:13" hidden="1" x14ac:dyDescent="0.3">
      <c r="D26" s="118">
        <v>1</v>
      </c>
      <c r="E26" s="118">
        <v>2</v>
      </c>
      <c r="F26" s="118">
        <v>3</v>
      </c>
      <c r="G26" s="118">
        <v>4</v>
      </c>
      <c r="H26" s="118">
        <v>5</v>
      </c>
      <c r="I26" s="118">
        <v>6</v>
      </c>
      <c r="J26" s="118">
        <v>7</v>
      </c>
      <c r="K26" s="118">
        <v>8</v>
      </c>
      <c r="L26" s="118">
        <v>9</v>
      </c>
      <c r="M26" s="118">
        <v>10</v>
      </c>
    </row>
    <row r="27" spans="2:13" hidden="1" x14ac:dyDescent="0.3">
      <c r="D27" s="118">
        <f>D18/(1+$D$19)^D26</f>
        <v>13264.388888888841</v>
      </c>
      <c r="E27" s="118">
        <f t="shared" ref="E27" si="2">E18/(1+$D$19)^E26</f>
        <v>9975.703017832624</v>
      </c>
      <c r="F27" s="118">
        <f>$F$18/(1+$D$19)^F26</f>
        <v>13116.28372199359</v>
      </c>
      <c r="G27" s="118">
        <f t="shared" ref="G27:M27" si="3">$F$18/(1+$D$19)^G26</f>
        <v>12144.707149994063</v>
      </c>
      <c r="H27" s="118">
        <f t="shared" si="3"/>
        <v>11245.099212957466</v>
      </c>
      <c r="I27" s="118">
        <f t="shared" si="3"/>
        <v>10412.128900886541</v>
      </c>
      <c r="J27" s="118">
        <f t="shared" si="3"/>
        <v>9640.8600934134629</v>
      </c>
      <c r="K27" s="118">
        <f t="shared" si="3"/>
        <v>8926.7223087161692</v>
      </c>
      <c r="L27" s="118">
        <f t="shared" si="3"/>
        <v>8265.4836191816376</v>
      </c>
      <c r="M27" s="118">
        <f t="shared" si="3"/>
        <v>7653.225573316332</v>
      </c>
    </row>
    <row r="28" spans="2:13" hidden="1" x14ac:dyDescent="0.3">
      <c r="D28" s="118">
        <f>SUM(D27:M27)</f>
        <v>104644.60248718073</v>
      </c>
    </row>
    <row r="29" spans="2:13" hidden="1" x14ac:dyDescent="0.3">
      <c r="D29" s="118">
        <f>D27</f>
        <v>13264.388888888841</v>
      </c>
      <c r="E29" s="118">
        <f>D29+E27</f>
        <v>23240.091906721464</v>
      </c>
      <c r="F29" s="118">
        <f t="shared" ref="F29:M29" si="4">E29+F27</f>
        <v>36356.375628715054</v>
      </c>
      <c r="G29" s="118">
        <f t="shared" si="4"/>
        <v>48501.082778709118</v>
      </c>
      <c r="H29" s="118">
        <f t="shared" si="4"/>
        <v>59746.181991666585</v>
      </c>
      <c r="I29" s="118">
        <f t="shared" si="4"/>
        <v>70158.310892553127</v>
      </c>
      <c r="J29" s="118">
        <f t="shared" si="4"/>
        <v>79799.170985966586</v>
      </c>
      <c r="K29" s="118">
        <f t="shared" si="4"/>
        <v>88725.893294682755</v>
      </c>
      <c r="L29" s="118">
        <f t="shared" si="4"/>
        <v>96991.376913864398</v>
      </c>
      <c r="M29" s="118">
        <f t="shared" si="4"/>
        <v>104644.60248718073</v>
      </c>
    </row>
    <row r="30" spans="2:13" hidden="1" x14ac:dyDescent="0.3">
      <c r="D30" s="118" t="str">
        <f>IF(D29&gt;D13,D26-1,"")</f>
        <v/>
      </c>
      <c r="E30" s="118" t="str">
        <f>IF(SUM($D$30:D30)=0,IF(E29&gt;$D$13,E26-1,""),"")</f>
        <v/>
      </c>
      <c r="F30" s="118" t="str">
        <f>IF(SUM($D$30:E30)=0,IF(F29&gt;$D$13,F26-1,""),"")</f>
        <v/>
      </c>
      <c r="G30" s="118" t="str">
        <f>IF(SUM($D$30:F30)=0,IF(G29&gt;$D$13,G26-1,""),"")</f>
        <v/>
      </c>
      <c r="H30" s="118">
        <f>IF(SUM($D$30:G30)=0,IF(H29&gt;$D$13,H26-1,""),"")</f>
        <v>4</v>
      </c>
      <c r="I30" s="118" t="str">
        <f>IF(SUM($D$30:H30)=0,IF(I29&gt;$D$13,I26-1,""),"")</f>
        <v/>
      </c>
      <c r="J30" s="118" t="str">
        <f>IF(SUM($D$30:I30)=0,IF(J29&gt;$D$13,J26-1,""),"")</f>
        <v/>
      </c>
      <c r="K30" s="118" t="str">
        <f>IF(SUM($D$30:J30)=0,IF(K29&gt;$D$13,K26-1,""),"")</f>
        <v/>
      </c>
      <c r="L30" s="118" t="str">
        <f>IF(SUM($D$30:K30)=0,IF(L29&gt;$D$13,L26-1,""),"")</f>
        <v/>
      </c>
      <c r="M30" s="118" t="str">
        <f>IF(SUM($D$30:L30)=0,IF(M29&gt;$D$13,M26-1,""),"")</f>
        <v/>
      </c>
    </row>
    <row r="31" spans="2:13" hidden="1" x14ac:dyDescent="0.3">
      <c r="D31" s="118" t="str">
        <f>IF(D30="","",D13/D27)</f>
        <v/>
      </c>
      <c r="E31" s="118" t="str">
        <f>IF(E30="","",($D$13-D29)/E27)</f>
        <v/>
      </c>
      <c r="F31" s="118" t="str">
        <f t="shared" ref="F31:M31" si="5">IF(F30="","",($D$13-E29)/F27)</f>
        <v/>
      </c>
      <c r="G31" s="118" t="str">
        <f t="shared" si="5"/>
        <v/>
      </c>
      <c r="H31" s="118">
        <f t="shared" si="5"/>
        <v>0.13329515310667195</v>
      </c>
      <c r="I31" s="118" t="str">
        <f t="shared" si="5"/>
        <v/>
      </c>
      <c r="J31" s="118" t="str">
        <f t="shared" si="5"/>
        <v/>
      </c>
      <c r="K31" s="118" t="str">
        <f t="shared" si="5"/>
        <v/>
      </c>
      <c r="L31" s="118" t="str">
        <f t="shared" si="5"/>
        <v/>
      </c>
      <c r="M31" s="118" t="str">
        <f t="shared" si="5"/>
        <v/>
      </c>
    </row>
    <row r="32" spans="2:13" hidden="1" x14ac:dyDescent="0.3">
      <c r="D32" s="118" t="str">
        <f>IF(D30="","",D30+D31)</f>
        <v/>
      </c>
      <c r="E32" s="118" t="str">
        <f>IF(D32="",IF(E30="","",E30+E31),"")</f>
        <v/>
      </c>
      <c r="F32" s="118" t="str">
        <f t="shared" ref="F32:M32" si="6">IF(F30="","",F30+F31)</f>
        <v/>
      </c>
      <c r="G32" s="118" t="str">
        <f t="shared" si="6"/>
        <v/>
      </c>
      <c r="H32" s="118">
        <f t="shared" si="6"/>
        <v>4.1332951531066717</v>
      </c>
      <c r="I32" s="118" t="str">
        <f t="shared" si="6"/>
        <v/>
      </c>
      <c r="J32" s="118" t="str">
        <f t="shared" si="6"/>
        <v/>
      </c>
      <c r="K32" s="118" t="str">
        <f t="shared" si="6"/>
        <v/>
      </c>
      <c r="L32" s="118" t="str">
        <f t="shared" si="6"/>
        <v/>
      </c>
      <c r="M32" s="118" t="str">
        <f t="shared" si="6"/>
        <v/>
      </c>
    </row>
    <row r="34" spans="2:4" ht="16.2" hidden="1" thickBot="1" x14ac:dyDescent="0.35">
      <c r="B34" s="305" t="s">
        <v>189</v>
      </c>
      <c r="C34" s="306"/>
      <c r="D34" s="214" t="s">
        <v>190</v>
      </c>
    </row>
    <row r="35" spans="2:4" ht="15" hidden="1" thickBot="1" x14ac:dyDescent="0.35">
      <c r="B35" s="307" t="s">
        <v>191</v>
      </c>
      <c r="C35" s="308"/>
      <c r="D35" s="215">
        <v>5</v>
      </c>
    </row>
    <row r="36" spans="2:4" ht="15" hidden="1" thickBot="1" x14ac:dyDescent="0.35">
      <c r="B36" s="307" t="s">
        <v>192</v>
      </c>
      <c r="C36" s="308"/>
      <c r="D36" s="216">
        <v>3</v>
      </c>
    </row>
    <row r="37" spans="2:4" ht="15" hidden="1" thickBot="1" x14ac:dyDescent="0.35">
      <c r="B37" s="307" t="s">
        <v>193</v>
      </c>
      <c r="C37" s="308"/>
      <c r="D37" s="216">
        <v>1</v>
      </c>
    </row>
    <row r="38" spans="2:4" ht="15" hidden="1" thickBot="1" x14ac:dyDescent="0.35">
      <c r="B38" s="307" t="s">
        <v>194</v>
      </c>
      <c r="C38" s="308"/>
      <c r="D38" s="216">
        <v>0</v>
      </c>
    </row>
  </sheetData>
  <sheetProtection algorithmName="SHA-512" hashValue="WxRhN/1uOGJvBIjlpxLJAHOniQW8D3Bz1Di4LhiiyBzUFyrP4hv3EW1NKZo5aSGhObUzCde7IeTZBEzWjZjHoQ==" saltValue="hsQcKWbYuGaSR0E2NvKHmg==" spinCount="100000" sheet="1" objects="1" scenarios="1"/>
  <mergeCells count="18">
    <mergeCell ref="B35:C35"/>
    <mergeCell ref="B36:C36"/>
    <mergeCell ref="B37:C37"/>
    <mergeCell ref="B38:C38"/>
    <mergeCell ref="D13:F13"/>
    <mergeCell ref="D21:F21"/>
    <mergeCell ref="D19:F19"/>
    <mergeCell ref="D22:F22"/>
    <mergeCell ref="C6:F6"/>
    <mergeCell ref="C7:F7"/>
    <mergeCell ref="C8:F8"/>
    <mergeCell ref="C9:F9"/>
    <mergeCell ref="B34:C34"/>
    <mergeCell ref="B11:B12"/>
    <mergeCell ref="C11:C12"/>
    <mergeCell ref="D11:D12"/>
    <mergeCell ref="E11:E12"/>
    <mergeCell ref="F11:F12"/>
  </mergeCells>
  <conditionalFormatting sqref="D35">
    <cfRule type="expression" dxfId="5" priority="4">
      <formula>IF($F$17&gt;=5%,TRUE(),FALSE())</formula>
    </cfRule>
  </conditionalFormatting>
  <conditionalFormatting sqref="D36">
    <cfRule type="expression" dxfId="4" priority="3">
      <formula>IF(AND($F$17&lt;5%,$F$17&gt;=2%),TRUE(),FALSE())</formula>
    </cfRule>
  </conditionalFormatting>
  <conditionalFormatting sqref="D37">
    <cfRule type="expression" dxfId="3" priority="2">
      <formula>IF(AND($F$17&lt;2%,$F$17&gt;=0%),TRUE(),FALSE())</formula>
    </cfRule>
  </conditionalFormatting>
  <conditionalFormatting sqref="D38">
    <cfRule type="expression" dxfId="2" priority="1">
      <formula>IF($F$17&lt;0%,TRUE(),FALSE())</formula>
    </cfRule>
  </conditionalFormatting>
  <pageMargins left="0.25" right="0.25" top="0.75" bottom="0.75" header="0.3" footer="0.3"/>
  <pageSetup paperSize="9" scale="72" orientation="portrait" r:id="rId1"/>
  <ignoredErrors>
    <ignoredError sqref="C6:F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Instructiuni</vt:lpstr>
      <vt:lpstr>Centralizator</vt:lpstr>
      <vt:lpstr>Buget</vt:lpstr>
      <vt:lpstr>B_meta</vt:lpstr>
      <vt:lpstr>Prog. veniturilor</vt:lpstr>
      <vt:lpstr>Prog. ch. fixe</vt:lpstr>
      <vt:lpstr>CPP</vt:lpstr>
      <vt:lpstr>CF</vt:lpstr>
      <vt:lpstr>Indicatori</vt:lpstr>
      <vt:lpstr>Break-even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- József Tánczos</dc:creator>
  <cp:lastModifiedBy>user</cp:lastModifiedBy>
  <cp:lastPrinted>2018-10-14T08:07:24Z</cp:lastPrinted>
  <dcterms:created xsi:type="dcterms:W3CDTF">2018-07-04T08:06:16Z</dcterms:created>
  <dcterms:modified xsi:type="dcterms:W3CDTF">2022-03-27T19:35:43Z</dcterms:modified>
</cp:coreProperties>
</file>